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every\Dropbox\Vault\Final Documents\"/>
    </mc:Choice>
  </mc:AlternateContent>
  <xr:revisionPtr revIDLastSave="0" documentId="8_{1BCD93E5-A54F-4D95-9228-99771A476CAC}" xr6:coauthVersionLast="47" xr6:coauthVersionMax="47" xr10:uidLastSave="{00000000-0000-0000-0000-000000000000}"/>
  <bookViews>
    <workbookView xWindow="-28920" yWindow="-120" windowWidth="29040" windowHeight="15720" activeTab="1" xr2:uid="{FFD58BA6-B6E0-44D0-A311-D3371C9629DC}"/>
  </bookViews>
  <sheets>
    <sheet name="FY24 Charter Calculator" sheetId="14" r:id="rId1"/>
    <sheet name="Revenue Estimates" sheetId="17" r:id="rId2"/>
  </sheets>
  <definedNames>
    <definedName name="_xlnm.Print_Area" localSheetId="0">'FY24 Charter Calculator'!$A$1:$D$80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17" l="1"/>
  <c r="I27" i="17"/>
  <c r="B44" i="14"/>
  <c r="B42" i="14"/>
  <c r="I35" i="17"/>
  <c r="W88" i="14"/>
  <c r="T88" i="14"/>
  <c r="Q88" i="14"/>
  <c r="N88" i="14"/>
  <c r="C88" i="14"/>
  <c r="C27" i="14"/>
  <c r="C73" i="14"/>
  <c r="I31" i="17"/>
  <c r="W89" i="14"/>
  <c r="T89" i="14"/>
  <c r="Q89" i="14"/>
  <c r="N89" i="14"/>
  <c r="N28" i="14"/>
  <c r="I19" i="17"/>
  <c r="F29" i="17" s="1"/>
  <c r="J18" i="17"/>
  <c r="J17" i="17"/>
  <c r="F18" i="17"/>
  <c r="J16" i="17"/>
  <c r="J15" i="17"/>
  <c r="J14" i="17"/>
  <c r="J13" i="17"/>
  <c r="J12" i="17"/>
  <c r="J11" i="17"/>
  <c r="J10" i="17"/>
  <c r="J9" i="17"/>
  <c r="J8" i="17"/>
  <c r="J7" i="17"/>
  <c r="J6" i="17"/>
  <c r="J5" i="17"/>
  <c r="J4" i="17"/>
  <c r="F4" i="17"/>
  <c r="F3" i="17"/>
  <c r="F26" i="17" l="1"/>
  <c r="F28" i="17"/>
  <c r="F8" i="17"/>
  <c r="F35" i="17"/>
  <c r="C83" i="14" s="1"/>
  <c r="F40" i="17"/>
  <c r="C12" i="14" s="1"/>
  <c r="F11" i="17"/>
  <c r="F6" i="17"/>
  <c r="F20" i="17"/>
  <c r="F7" i="17"/>
  <c r="F9" i="17"/>
  <c r="F17" i="17"/>
  <c r="I38" i="17"/>
  <c r="J19" i="17"/>
  <c r="I22" i="17" s="1"/>
  <c r="F19" i="17"/>
  <c r="F23" i="17"/>
  <c r="C89" i="14"/>
  <c r="I32" i="17"/>
  <c r="I40" i="17" s="1"/>
  <c r="F30" i="17" l="1"/>
  <c r="C84" i="14" s="1"/>
  <c r="I37" i="17"/>
  <c r="I39" i="17" s="1"/>
  <c r="I41" i="17" s="1"/>
  <c r="I42" i="17" s="1"/>
  <c r="F12" i="17" s="1"/>
  <c r="C61" i="14" l="1"/>
  <c r="C13" i="14" s="1"/>
  <c r="F13" i="17"/>
  <c r="C85" i="14" s="1"/>
  <c r="C86" i="14" s="1"/>
  <c r="C16" i="17" l="1"/>
  <c r="W53" i="14"/>
  <c r="Q28" i="14"/>
  <c r="D31" i="14"/>
  <c r="T28" i="14"/>
  <c r="W28" i="14"/>
  <c r="V31" i="14"/>
  <c r="U31" i="14"/>
  <c r="S31" i="14"/>
  <c r="R31" i="14"/>
  <c r="V53" i="14"/>
  <c r="U53" i="14"/>
  <c r="V35" i="14"/>
  <c r="U35" i="14"/>
  <c r="U41" i="14" s="1"/>
  <c r="U43" i="14" s="1"/>
  <c r="V33" i="14"/>
  <c r="U33" i="14"/>
  <c r="W26" i="14"/>
  <c r="V26" i="14"/>
  <c r="U26" i="14"/>
  <c r="V41" i="14" l="1"/>
  <c r="V43" i="14" s="1"/>
  <c r="V45" i="14" s="1"/>
  <c r="U38" i="14"/>
  <c r="W35" i="14"/>
  <c r="W43" i="14" s="1"/>
  <c r="W45" i="14" s="1"/>
  <c r="C28" i="14"/>
  <c r="Q85" i="14" s="1"/>
  <c r="T31" i="14"/>
  <c r="W31" i="14"/>
  <c r="V38" i="14"/>
  <c r="W33" i="14"/>
  <c r="V34" i="14"/>
  <c r="U45" i="14"/>
  <c r="U34" i="14"/>
  <c r="T85" i="14" l="1"/>
  <c r="T84" i="14"/>
  <c r="T83" i="14"/>
  <c r="M85" i="14"/>
  <c r="O83" i="14"/>
  <c r="U84" i="14"/>
  <c r="P83" i="14"/>
  <c r="U85" i="14"/>
  <c r="K85" i="14"/>
  <c r="S84" i="14"/>
  <c r="J84" i="14"/>
  <c r="E83" i="14"/>
  <c r="M83" i="14"/>
  <c r="H85" i="14"/>
  <c r="G84" i="14"/>
  <c r="H83" i="14"/>
  <c r="E85" i="14"/>
  <c r="L84" i="14"/>
  <c r="D84" i="14"/>
  <c r="L85" i="14"/>
  <c r="D83" i="14"/>
  <c r="S85" i="14"/>
  <c r="J85" i="14"/>
  <c r="R84" i="14"/>
  <c r="I84" i="14"/>
  <c r="F83" i="14"/>
  <c r="R85" i="14"/>
  <c r="I85" i="14"/>
  <c r="H84" i="14"/>
  <c r="G83" i="14"/>
  <c r="U83" i="14"/>
  <c r="P84" i="14"/>
  <c r="V85" i="14"/>
  <c r="K83" i="14"/>
  <c r="K84" i="14"/>
  <c r="L83" i="14"/>
  <c r="V83" i="14"/>
  <c r="S83" i="14"/>
  <c r="P85" i="14"/>
  <c r="G85" i="14"/>
  <c r="O84" i="14"/>
  <c r="F84" i="14"/>
  <c r="I83" i="14"/>
  <c r="V84" i="14"/>
  <c r="R83" i="14"/>
  <c r="O85" i="14"/>
  <c r="F85" i="14"/>
  <c r="M84" i="14"/>
  <c r="E84" i="14"/>
  <c r="D85" i="14"/>
  <c r="J83" i="14"/>
  <c r="Q84" i="14"/>
  <c r="W83" i="14"/>
  <c r="W84" i="14"/>
  <c r="W85" i="14"/>
  <c r="W38" i="14"/>
  <c r="C29" i="14"/>
  <c r="C9" i="17" s="1"/>
  <c r="W34" i="14"/>
  <c r="J86" i="14" l="1"/>
  <c r="M86" i="14"/>
  <c r="L86" i="14"/>
  <c r="H86" i="14"/>
  <c r="V86" i="14"/>
  <c r="K86" i="14"/>
  <c r="T86" i="14"/>
  <c r="G86" i="14"/>
  <c r="U86" i="14"/>
  <c r="R86" i="14"/>
  <c r="N83" i="14"/>
  <c r="D86" i="14"/>
  <c r="O86" i="14"/>
  <c r="Q83" i="14"/>
  <c r="W86" i="14"/>
  <c r="N84" i="14"/>
  <c r="P86" i="14"/>
  <c r="N85" i="14"/>
  <c r="F86" i="14"/>
  <c r="S86" i="14"/>
  <c r="E86" i="14"/>
  <c r="I86" i="14"/>
  <c r="I23" i="17"/>
  <c r="Q53" i="14"/>
  <c r="P53" i="14"/>
  <c r="O53" i="14"/>
  <c r="P35" i="14"/>
  <c r="P41" i="14" s="1"/>
  <c r="P43" i="14" s="1"/>
  <c r="O35" i="14"/>
  <c r="O41" i="14" s="1"/>
  <c r="O43" i="14" s="1"/>
  <c r="Q33" i="14"/>
  <c r="P33" i="14"/>
  <c r="O33" i="14"/>
  <c r="Q31" i="14"/>
  <c r="P31" i="14"/>
  <c r="O31" i="14"/>
  <c r="Q26" i="14"/>
  <c r="P26" i="14"/>
  <c r="O26" i="14"/>
  <c r="T53" i="14"/>
  <c r="S53" i="14"/>
  <c r="R53" i="14"/>
  <c r="S35" i="14"/>
  <c r="R35" i="14"/>
  <c r="R41" i="14" s="1"/>
  <c r="R43" i="14" s="1"/>
  <c r="T33" i="14"/>
  <c r="S33" i="14"/>
  <c r="R33" i="14"/>
  <c r="T26" i="14"/>
  <c r="S26" i="14"/>
  <c r="N86" i="14" l="1"/>
  <c r="S41" i="14"/>
  <c r="S43" i="14" s="1"/>
  <c r="S45" i="14" s="1"/>
  <c r="P45" i="14"/>
  <c r="Q35" i="14"/>
  <c r="Q43" i="14" s="1"/>
  <c r="Q45" i="14" s="1"/>
  <c r="R38" i="14"/>
  <c r="T35" i="14"/>
  <c r="T43" i="14" s="1"/>
  <c r="T45" i="14" s="1"/>
  <c r="Q38" i="14"/>
  <c r="P38" i="14"/>
  <c r="S38" i="14"/>
  <c r="O38" i="14"/>
  <c r="O45" i="14"/>
  <c r="O34" i="14"/>
  <c r="P34" i="14"/>
  <c r="R34" i="14"/>
  <c r="S34" i="14"/>
  <c r="R45" i="14"/>
  <c r="Q34" i="14" l="1"/>
  <c r="T34" i="14"/>
  <c r="T38" i="14"/>
  <c r="N33" i="14" l="1"/>
  <c r="N53" i="14"/>
  <c r="M53" i="14"/>
  <c r="M35" i="14"/>
  <c r="M41" i="14" s="1"/>
  <c r="M43" i="14" s="1"/>
  <c r="M33" i="14"/>
  <c r="M31" i="14"/>
  <c r="L53" i="14"/>
  <c r="L35" i="14"/>
  <c r="L41" i="14" s="1"/>
  <c r="L43" i="14" s="1"/>
  <c r="L33" i="14"/>
  <c r="L31" i="14"/>
  <c r="K53" i="14"/>
  <c r="K35" i="14"/>
  <c r="K41" i="14" s="1"/>
  <c r="K43" i="14" s="1"/>
  <c r="K33" i="14"/>
  <c r="K31" i="14"/>
  <c r="J53" i="14"/>
  <c r="J35" i="14"/>
  <c r="J41" i="14" s="1"/>
  <c r="J43" i="14" s="1"/>
  <c r="J33" i="14"/>
  <c r="J31" i="14"/>
  <c r="I53" i="14"/>
  <c r="I35" i="14"/>
  <c r="I41" i="14" s="1"/>
  <c r="I43" i="14" s="1"/>
  <c r="I33" i="14"/>
  <c r="I31" i="14"/>
  <c r="H53" i="14"/>
  <c r="H35" i="14"/>
  <c r="H41" i="14" s="1"/>
  <c r="H43" i="14" s="1"/>
  <c r="H33" i="14"/>
  <c r="H31" i="14"/>
  <c r="G53" i="14"/>
  <c r="G35" i="14"/>
  <c r="G41" i="14" s="1"/>
  <c r="G43" i="14" s="1"/>
  <c r="G33" i="14"/>
  <c r="G31" i="14"/>
  <c r="F53" i="14"/>
  <c r="F35" i="14"/>
  <c r="F41" i="14" s="1"/>
  <c r="F43" i="14" s="1"/>
  <c r="F33" i="14"/>
  <c r="F31" i="14"/>
  <c r="E53" i="14"/>
  <c r="E35" i="14"/>
  <c r="E41" i="14" s="1"/>
  <c r="E43" i="14" s="1"/>
  <c r="E33" i="14"/>
  <c r="E31" i="14"/>
  <c r="B16" i="14"/>
  <c r="K34" i="14" l="1"/>
  <c r="E34" i="14"/>
  <c r="I34" i="14"/>
  <c r="B18" i="14"/>
  <c r="F34" i="14"/>
  <c r="L34" i="14"/>
  <c r="J34" i="14"/>
  <c r="H34" i="14"/>
  <c r="M34" i="14"/>
  <c r="N31" i="14"/>
  <c r="G34" i="14"/>
  <c r="M38" i="14"/>
  <c r="M45" i="14"/>
  <c r="L45" i="14"/>
  <c r="L38" i="14"/>
  <c r="K38" i="14"/>
  <c r="K45" i="14"/>
  <c r="J38" i="14"/>
  <c r="J45" i="14"/>
  <c r="I38" i="14"/>
  <c r="I45" i="14"/>
  <c r="H38" i="14"/>
  <c r="H45" i="14"/>
  <c r="G38" i="14"/>
  <c r="G45" i="14"/>
  <c r="F38" i="14"/>
  <c r="F45" i="14"/>
  <c r="E38" i="14"/>
  <c r="E45" i="14"/>
  <c r="B19" i="14" l="1"/>
  <c r="B20" i="14" l="1"/>
  <c r="B21" i="14" s="1"/>
  <c r="B23" i="14" s="1"/>
  <c r="B24" i="14" l="1"/>
  <c r="B27" i="14" s="1"/>
  <c r="B29" i="14" l="1"/>
  <c r="B31" i="14" l="1"/>
  <c r="B33" i="14" s="1"/>
  <c r="B35" i="14" s="1"/>
  <c r="B41" i="14" l="1"/>
  <c r="B43" i="14" s="1"/>
  <c r="B45" i="14" s="1"/>
  <c r="B47" i="14" l="1"/>
  <c r="B49" i="14" l="1"/>
  <c r="D35" i="14"/>
  <c r="N35" i="14" l="1"/>
  <c r="C35" i="14" s="1"/>
  <c r="C41" i="14" s="1"/>
  <c r="C43" i="14" s="1"/>
  <c r="D41" i="14"/>
  <c r="D43" i="14" s="1"/>
  <c r="B51" i="14"/>
  <c r="C31" i="14"/>
  <c r="C47" i="14" s="1"/>
  <c r="C59" i="14"/>
  <c r="C62" i="14" s="1"/>
  <c r="D38" i="14"/>
  <c r="D27" i="14"/>
  <c r="E27" i="14" s="1"/>
  <c r="D53" i="14"/>
  <c r="C33" i="14"/>
  <c r="D73" i="14"/>
  <c r="E73" i="14" s="1"/>
  <c r="F73" i="14" s="1"/>
  <c r="G73" i="14" s="1"/>
  <c r="H73" i="14" s="1"/>
  <c r="I73" i="14" s="1"/>
  <c r="J73" i="14" s="1"/>
  <c r="K73" i="14" s="1"/>
  <c r="L73" i="14" s="1"/>
  <c r="M73" i="14" s="1"/>
  <c r="N73" i="14" s="1"/>
  <c r="O73" i="14" s="1"/>
  <c r="P73" i="14" s="1"/>
  <c r="Q73" i="14" s="1"/>
  <c r="R73" i="14" s="1"/>
  <c r="S73" i="14" s="1"/>
  <c r="T73" i="14" s="1"/>
  <c r="U73" i="14" s="1"/>
  <c r="V73" i="14" s="1"/>
  <c r="W73" i="14" s="1"/>
  <c r="D33" i="14"/>
  <c r="C49" i="14" l="1"/>
  <c r="C10" i="17"/>
  <c r="N43" i="14"/>
  <c r="N45" i="14" s="1"/>
  <c r="N38" i="14"/>
  <c r="N34" i="14"/>
  <c r="O47" i="14"/>
  <c r="U47" i="14"/>
  <c r="H47" i="14"/>
  <c r="H49" i="14" s="1"/>
  <c r="H51" i="14" s="1"/>
  <c r="H55" i="14" s="1"/>
  <c r="H69" i="14" s="1"/>
  <c r="H78" i="14" s="1"/>
  <c r="F47" i="14"/>
  <c r="F49" i="14" s="1"/>
  <c r="F51" i="14" s="1"/>
  <c r="F55" i="14" s="1"/>
  <c r="F69" i="14" s="1"/>
  <c r="F78" i="14" s="1"/>
  <c r="I47" i="14"/>
  <c r="I49" i="14" s="1"/>
  <c r="I51" i="14" s="1"/>
  <c r="I55" i="14" s="1"/>
  <c r="I69" i="14" s="1"/>
  <c r="I78" i="14" s="1"/>
  <c r="P47" i="14"/>
  <c r="P49" i="14" s="1"/>
  <c r="P51" i="14" s="1"/>
  <c r="P55" i="14" s="1"/>
  <c r="P69" i="14" s="1"/>
  <c r="P78" i="14" s="1"/>
  <c r="V47" i="14"/>
  <c r="V49" i="14" s="1"/>
  <c r="V51" i="14" s="1"/>
  <c r="V55" i="14" s="1"/>
  <c r="V69" i="14" s="1"/>
  <c r="V78" i="14" s="1"/>
  <c r="R47" i="14"/>
  <c r="J47" i="14"/>
  <c r="J49" i="14" s="1"/>
  <c r="J51" i="14" s="1"/>
  <c r="J55" i="14" s="1"/>
  <c r="J69" i="14" s="1"/>
  <c r="J78" i="14" s="1"/>
  <c r="L47" i="14"/>
  <c r="L49" i="14" s="1"/>
  <c r="L51" i="14" s="1"/>
  <c r="L55" i="14" s="1"/>
  <c r="L69" i="14" s="1"/>
  <c r="L78" i="14" s="1"/>
  <c r="S47" i="14"/>
  <c r="S49" i="14" s="1"/>
  <c r="S51" i="14" s="1"/>
  <c r="S55" i="14" s="1"/>
  <c r="S69" i="14" s="1"/>
  <c r="S78" i="14" s="1"/>
  <c r="G47" i="14"/>
  <c r="G49" i="14" s="1"/>
  <c r="G51" i="14" s="1"/>
  <c r="G55" i="14" s="1"/>
  <c r="G69" i="14" s="1"/>
  <c r="G78" i="14" s="1"/>
  <c r="D47" i="14"/>
  <c r="K47" i="14"/>
  <c r="K49" i="14" s="1"/>
  <c r="K51" i="14" s="1"/>
  <c r="K55" i="14" s="1"/>
  <c r="K69" i="14" s="1"/>
  <c r="K78" i="14" s="1"/>
  <c r="M47" i="14"/>
  <c r="M49" i="14" s="1"/>
  <c r="M51" i="14" s="1"/>
  <c r="M55" i="14" s="1"/>
  <c r="M69" i="14" s="1"/>
  <c r="M78" i="14" s="1"/>
  <c r="E47" i="14"/>
  <c r="E49" i="14" s="1"/>
  <c r="E51" i="14" s="1"/>
  <c r="E55" i="14" s="1"/>
  <c r="E69" i="14" s="1"/>
  <c r="E78" i="14" s="1"/>
  <c r="F27" i="14"/>
  <c r="B53" i="14"/>
  <c r="B55" i="14" s="1"/>
  <c r="C38" i="14"/>
  <c r="C45" i="14"/>
  <c r="D45" i="14"/>
  <c r="D34" i="14"/>
  <c r="C53" i="14"/>
  <c r="C91" i="14" s="1"/>
  <c r="I24" i="17" l="1"/>
  <c r="I25" i="17" s="1"/>
  <c r="I26" i="17" s="1"/>
  <c r="F34" i="17"/>
  <c r="T47" i="14"/>
  <c r="T49" i="14" s="1"/>
  <c r="T51" i="14" s="1"/>
  <c r="T55" i="14" s="1"/>
  <c r="T69" i="14" s="1"/>
  <c r="T78" i="14" s="1"/>
  <c r="R49" i="14"/>
  <c r="R51" i="14" s="1"/>
  <c r="R55" i="14" s="1"/>
  <c r="R69" i="14" s="1"/>
  <c r="R78" i="14" s="1"/>
  <c r="N47" i="14"/>
  <c r="N49" i="14" s="1"/>
  <c r="N51" i="14" s="1"/>
  <c r="N55" i="14" s="1"/>
  <c r="N69" i="14" s="1"/>
  <c r="N78" i="14" s="1"/>
  <c r="D49" i="14"/>
  <c r="D51" i="14" s="1"/>
  <c r="D55" i="14" s="1"/>
  <c r="W47" i="14"/>
  <c r="W49" i="14" s="1"/>
  <c r="W51" i="14" s="1"/>
  <c r="W55" i="14" s="1"/>
  <c r="W69" i="14" s="1"/>
  <c r="W78" i="14" s="1"/>
  <c r="U49" i="14"/>
  <c r="U51" i="14" s="1"/>
  <c r="U55" i="14" s="1"/>
  <c r="U69" i="14" s="1"/>
  <c r="U78" i="14" s="1"/>
  <c r="E57" i="14"/>
  <c r="Q47" i="14"/>
  <c r="Q49" i="14" s="1"/>
  <c r="Q51" i="14" s="1"/>
  <c r="Q55" i="14" s="1"/>
  <c r="Q69" i="14" s="1"/>
  <c r="Q78" i="14" s="1"/>
  <c r="O49" i="14"/>
  <c r="O51" i="14" s="1"/>
  <c r="O55" i="14" s="1"/>
  <c r="O69" i="14" s="1"/>
  <c r="O78" i="14" s="1"/>
  <c r="C51" i="14"/>
  <c r="C55" i="14" s="1"/>
  <c r="C69" i="14" s="1"/>
  <c r="C78" i="14" s="1"/>
  <c r="B57" i="14"/>
  <c r="B59" i="14" s="1"/>
  <c r="B61" i="14" s="1"/>
  <c r="G27" i="14"/>
  <c r="F57" i="14"/>
  <c r="F47" i="17" l="1"/>
  <c r="F50" i="17" s="1"/>
  <c r="C18" i="17" s="1"/>
  <c r="C8" i="14"/>
  <c r="C77" i="14"/>
  <c r="V77" i="14" s="1"/>
  <c r="C57" i="14"/>
  <c r="H27" i="14"/>
  <c r="G57" i="14"/>
  <c r="B62" i="14"/>
  <c r="V12" i="14"/>
  <c r="V13" i="14"/>
  <c r="V61" i="14"/>
  <c r="W12" i="14"/>
  <c r="V9" i="14"/>
  <c r="W59" i="14"/>
  <c r="W62" i="14" s="1"/>
  <c r="W13" i="14"/>
  <c r="W61" i="14"/>
  <c r="V59" i="14"/>
  <c r="V62" i="14" s="1"/>
  <c r="W9" i="14"/>
  <c r="U59" i="14"/>
  <c r="U62" i="14" s="1"/>
  <c r="U61" i="14"/>
  <c r="U12" i="14"/>
  <c r="U13" i="14"/>
  <c r="U9" i="14"/>
  <c r="P12" i="14"/>
  <c r="P59" i="14"/>
  <c r="P62" i="14" s="1"/>
  <c r="Q59" i="14"/>
  <c r="Q62" i="14" s="1"/>
  <c r="Q12" i="14"/>
  <c r="T59" i="14"/>
  <c r="T62" i="14" s="1"/>
  <c r="S13" i="14"/>
  <c r="P13" i="14"/>
  <c r="T9" i="14"/>
  <c r="S12" i="14"/>
  <c r="P61" i="14"/>
  <c r="Q9" i="14"/>
  <c r="O61" i="14"/>
  <c r="T13" i="14"/>
  <c r="S61" i="14"/>
  <c r="S9" i="14"/>
  <c r="O9" i="14"/>
  <c r="Q13" i="14"/>
  <c r="Q61" i="14"/>
  <c r="T61" i="14"/>
  <c r="P9" i="14"/>
  <c r="T12" i="14"/>
  <c r="S59" i="14"/>
  <c r="S62" i="14" s="1"/>
  <c r="O12" i="14"/>
  <c r="R61" i="14"/>
  <c r="R9" i="14"/>
  <c r="R12" i="14"/>
  <c r="O59" i="14"/>
  <c r="O62" i="14" s="1"/>
  <c r="R59" i="14"/>
  <c r="R62" i="14" s="1"/>
  <c r="O13" i="14"/>
  <c r="R13" i="14"/>
  <c r="H9" i="14"/>
  <c r="N59" i="14"/>
  <c r="N62" i="14" s="1"/>
  <c r="N9" i="14"/>
  <c r="M59" i="14"/>
  <c r="M62" i="14" s="1"/>
  <c r="L12" i="14"/>
  <c r="L13" i="14"/>
  <c r="L59" i="14"/>
  <c r="L62" i="14" s="1"/>
  <c r="K13" i="14"/>
  <c r="J61" i="14"/>
  <c r="I61" i="14"/>
  <c r="G9" i="14"/>
  <c r="F61" i="14"/>
  <c r="E12" i="14"/>
  <c r="E13" i="14"/>
  <c r="H13" i="14"/>
  <c r="N13" i="14"/>
  <c r="J9" i="14"/>
  <c r="I13" i="14"/>
  <c r="H61" i="14"/>
  <c r="H12" i="14"/>
  <c r="M12" i="14"/>
  <c r="L9" i="14"/>
  <c r="K9" i="14"/>
  <c r="J13" i="14"/>
  <c r="I12" i="14"/>
  <c r="I59" i="14"/>
  <c r="I62" i="14" s="1"/>
  <c r="F12" i="14"/>
  <c r="F59" i="14"/>
  <c r="F62" i="14" s="1"/>
  <c r="E59" i="14"/>
  <c r="E62" i="14" s="1"/>
  <c r="K12" i="14"/>
  <c r="J59" i="14"/>
  <c r="J62" i="14" s="1"/>
  <c r="H59" i="14"/>
  <c r="H62" i="14" s="1"/>
  <c r="N12" i="14"/>
  <c r="N61" i="14"/>
  <c r="M61" i="14"/>
  <c r="M13" i="14"/>
  <c r="L61" i="14"/>
  <c r="K59" i="14"/>
  <c r="K62" i="14" s="1"/>
  <c r="K61" i="14"/>
  <c r="J12" i="14"/>
  <c r="G12" i="14"/>
  <c r="G13" i="14"/>
  <c r="G59" i="14"/>
  <c r="G62" i="14" s="1"/>
  <c r="F13" i="14"/>
  <c r="E61" i="14"/>
  <c r="E9" i="14"/>
  <c r="M9" i="14"/>
  <c r="I9" i="14"/>
  <c r="G61" i="14"/>
  <c r="F9" i="14"/>
  <c r="D9" i="14"/>
  <c r="D12" i="14"/>
  <c r="D13" i="14"/>
  <c r="D61" i="14"/>
  <c r="D57" i="14"/>
  <c r="D69" i="14"/>
  <c r="D59" i="14"/>
  <c r="D62" i="14" s="1"/>
  <c r="I11" i="14" l="1"/>
  <c r="O77" i="14"/>
  <c r="R11" i="14"/>
  <c r="K11" i="14"/>
  <c r="O11" i="14"/>
  <c r="L77" i="14"/>
  <c r="I77" i="14"/>
  <c r="S11" i="14"/>
  <c r="U77" i="14"/>
  <c r="F11" i="14"/>
  <c r="T11" i="14"/>
  <c r="L11" i="14"/>
  <c r="W77" i="14"/>
  <c r="K77" i="14"/>
  <c r="P11" i="14"/>
  <c r="H11" i="14"/>
  <c r="H77" i="14"/>
  <c r="E77" i="14"/>
  <c r="T77" i="14"/>
  <c r="M77" i="14"/>
  <c r="J77" i="14"/>
  <c r="J11" i="14"/>
  <c r="N11" i="14"/>
  <c r="Q77" i="14"/>
  <c r="U11" i="14"/>
  <c r="V11" i="14"/>
  <c r="D77" i="14"/>
  <c r="N77" i="14"/>
  <c r="F77" i="14"/>
  <c r="P77" i="14"/>
  <c r="E11" i="14"/>
  <c r="M11" i="14"/>
  <c r="S77" i="14"/>
  <c r="D11" i="14"/>
  <c r="G77" i="14"/>
  <c r="G11" i="14"/>
  <c r="R77" i="14"/>
  <c r="Q11" i="14"/>
  <c r="W11" i="14"/>
  <c r="C76" i="14"/>
  <c r="B63" i="14"/>
  <c r="B64" i="14" s="1"/>
  <c r="B65" i="14" s="1"/>
  <c r="B67" i="14" s="1"/>
  <c r="B69" i="14" s="1"/>
  <c r="B71" i="14" s="1"/>
  <c r="B73" i="14" s="1"/>
  <c r="B75" i="14" s="1"/>
  <c r="B76" i="14" s="1"/>
  <c r="B77" i="14" s="1"/>
  <c r="B78" i="14" s="1"/>
  <c r="B79" i="14" s="1"/>
  <c r="I27" i="14"/>
  <c r="H57" i="14"/>
  <c r="D78" i="14"/>
  <c r="C75" i="14" l="1"/>
  <c r="C79" i="14" s="1"/>
  <c r="C63" i="14" s="1"/>
  <c r="J27" i="14"/>
  <c r="I57" i="14"/>
  <c r="V76" i="14"/>
  <c r="V75" i="14" s="1"/>
  <c r="V79" i="14" s="1"/>
  <c r="R76" i="14"/>
  <c r="R75" i="14" s="1"/>
  <c r="R79" i="14" s="1"/>
  <c r="O76" i="14"/>
  <c r="O75" i="14" s="1"/>
  <c r="O79" i="14" s="1"/>
  <c r="U76" i="14"/>
  <c r="U75" i="14" s="1"/>
  <c r="U79" i="14" s="1"/>
  <c r="W76" i="14"/>
  <c r="W75" i="14" s="1"/>
  <c r="W79" i="14" s="1"/>
  <c r="P76" i="14"/>
  <c r="P75" i="14" s="1"/>
  <c r="P79" i="14" s="1"/>
  <c r="T76" i="14"/>
  <c r="T75" i="14" s="1"/>
  <c r="T79" i="14" s="1"/>
  <c r="S76" i="14"/>
  <c r="S75" i="14" s="1"/>
  <c r="S79" i="14" s="1"/>
  <c r="Q76" i="14"/>
  <c r="Q75" i="14" s="1"/>
  <c r="Q79" i="14" s="1"/>
  <c r="L76" i="14"/>
  <c r="L75" i="14" s="1"/>
  <c r="L79" i="14" s="1"/>
  <c r="E76" i="14"/>
  <c r="E75" i="14" s="1"/>
  <c r="E79" i="14" s="1"/>
  <c r="J76" i="14"/>
  <c r="J75" i="14" s="1"/>
  <c r="J79" i="14" s="1"/>
  <c r="H76" i="14"/>
  <c r="H75" i="14" s="1"/>
  <c r="H79" i="14" s="1"/>
  <c r="M76" i="14"/>
  <c r="M75" i="14" s="1"/>
  <c r="M79" i="14" s="1"/>
  <c r="G76" i="14"/>
  <c r="G75" i="14" s="1"/>
  <c r="G79" i="14" s="1"/>
  <c r="N76" i="14"/>
  <c r="N75" i="14" s="1"/>
  <c r="N79" i="14" s="1"/>
  <c r="I76" i="14"/>
  <c r="I75" i="14" s="1"/>
  <c r="I79" i="14" s="1"/>
  <c r="F76" i="14"/>
  <c r="F75" i="14" s="1"/>
  <c r="F79" i="14" s="1"/>
  <c r="K76" i="14"/>
  <c r="K75" i="14" s="1"/>
  <c r="K79" i="14" s="1"/>
  <c r="D76" i="14"/>
  <c r="D75" i="14" s="1"/>
  <c r="D79" i="14" s="1"/>
  <c r="C64" i="14" l="1"/>
  <c r="C65" i="14" s="1"/>
  <c r="C67" i="14" s="1"/>
  <c r="C71" i="14" s="1"/>
  <c r="C10" i="14" s="1"/>
  <c r="C14" i="14" s="1"/>
  <c r="K27" i="14"/>
  <c r="J57" i="14"/>
  <c r="W8" i="14"/>
  <c r="W64" i="14" s="1"/>
  <c r="W65" i="14" s="1"/>
  <c r="V8" i="14"/>
  <c r="V64" i="14" s="1"/>
  <c r="V65" i="14" s="1"/>
  <c r="U8" i="14"/>
  <c r="U64" i="14" s="1"/>
  <c r="U65" i="14" s="1"/>
  <c r="Q8" i="14"/>
  <c r="Q64" i="14" s="1"/>
  <c r="Q65" i="14" s="1"/>
  <c r="S8" i="14"/>
  <c r="S64" i="14" s="1"/>
  <c r="S65" i="14" s="1"/>
  <c r="P8" i="14"/>
  <c r="P64" i="14" s="1"/>
  <c r="P65" i="14" s="1"/>
  <c r="T8" i="14"/>
  <c r="T64" i="14" s="1"/>
  <c r="T65" i="14" s="1"/>
  <c r="O8" i="14"/>
  <c r="O64" i="14" s="1"/>
  <c r="O65" i="14" s="1"/>
  <c r="R8" i="14"/>
  <c r="R64" i="14" s="1"/>
  <c r="R65" i="14" s="1"/>
  <c r="H8" i="14"/>
  <c r="K8" i="14"/>
  <c r="K64" i="14" s="1"/>
  <c r="K65" i="14" s="1"/>
  <c r="L8" i="14"/>
  <c r="L64" i="14" s="1"/>
  <c r="L65" i="14" s="1"/>
  <c r="E8" i="14"/>
  <c r="E64" i="14" s="1"/>
  <c r="E65" i="14" s="1"/>
  <c r="E67" i="14" s="1"/>
  <c r="E71" i="14" s="1"/>
  <c r="E10" i="14" s="1"/>
  <c r="E14" i="14" s="1"/>
  <c r="G8" i="14"/>
  <c r="G64" i="14" s="1"/>
  <c r="G65" i="14" s="1"/>
  <c r="G67" i="14" s="1"/>
  <c r="G71" i="14" s="1"/>
  <c r="G10" i="14" s="1"/>
  <c r="G14" i="14" s="1"/>
  <c r="M8" i="14"/>
  <c r="M64" i="14" s="1"/>
  <c r="M65" i="14" s="1"/>
  <c r="I8" i="14"/>
  <c r="I64" i="14" s="1"/>
  <c r="I65" i="14" s="1"/>
  <c r="I67" i="14" s="1"/>
  <c r="I71" i="14" s="1"/>
  <c r="I10" i="14" s="1"/>
  <c r="I14" i="14" s="1"/>
  <c r="F8" i="14"/>
  <c r="F64" i="14" s="1"/>
  <c r="F65" i="14" s="1"/>
  <c r="F67" i="14" s="1"/>
  <c r="F71" i="14" s="1"/>
  <c r="F10" i="14" s="1"/>
  <c r="F14" i="14" s="1"/>
  <c r="N8" i="14"/>
  <c r="N64" i="14" s="1"/>
  <c r="N65" i="14" s="1"/>
  <c r="J8" i="14"/>
  <c r="J64" i="14" s="1"/>
  <c r="J65" i="14" s="1"/>
  <c r="D8" i="14"/>
  <c r="D64" i="14" s="1"/>
  <c r="D65" i="14" s="1"/>
  <c r="D67" i="14" s="1"/>
  <c r="D71" i="14" s="1"/>
  <c r="J67" i="14" l="1"/>
  <c r="J71" i="14" s="1"/>
  <c r="J10" i="14" s="1"/>
  <c r="J14" i="14" s="1"/>
  <c r="J16" i="14" s="1"/>
  <c r="C13" i="17"/>
  <c r="I28" i="17" s="1"/>
  <c r="F33" i="17" s="1"/>
  <c r="F44" i="17" s="1"/>
  <c r="C17" i="17" s="1"/>
  <c r="C19" i="17" s="1"/>
  <c r="F16" i="14"/>
  <c r="I16" i="14"/>
  <c r="G16" i="14"/>
  <c r="C16" i="14"/>
  <c r="E16" i="14"/>
  <c r="L27" i="14"/>
  <c r="K57" i="14"/>
  <c r="K67" i="14" s="1"/>
  <c r="K71" i="14" s="1"/>
  <c r="K10" i="14" s="1"/>
  <c r="K14" i="14" s="1"/>
  <c r="H64" i="14"/>
  <c r="H65" i="14" s="1"/>
  <c r="H67" i="14" s="1"/>
  <c r="H71" i="14" s="1"/>
  <c r="H10" i="14" s="1"/>
  <c r="H14" i="14" s="1"/>
  <c r="D10" i="14"/>
  <c r="D14" i="14" s="1"/>
  <c r="E18" i="14" l="1"/>
  <c r="E21" i="14" s="1"/>
  <c r="E90" i="14" s="1"/>
  <c r="C18" i="14"/>
  <c r="C21" i="14" s="1"/>
  <c r="G18" i="14"/>
  <c r="G21" i="14" s="1"/>
  <c r="G90" i="14" s="1"/>
  <c r="I18" i="14"/>
  <c r="I21" i="14" s="1"/>
  <c r="I90" i="14" s="1"/>
  <c r="F18" i="14"/>
  <c r="F21" i="14" s="1"/>
  <c r="F90" i="14" s="1"/>
  <c r="J18" i="14"/>
  <c r="J21" i="14" s="1"/>
  <c r="J90" i="14" s="1"/>
  <c r="F51" i="17"/>
  <c r="K16" i="14"/>
  <c r="H16" i="14"/>
  <c r="M27" i="14"/>
  <c r="L57" i="14"/>
  <c r="L67" i="14" s="1"/>
  <c r="L71" i="14" s="1"/>
  <c r="L10" i="14" s="1"/>
  <c r="L14" i="14" s="1"/>
  <c r="D16" i="14"/>
  <c r="J92" i="14" l="1"/>
  <c r="J23" i="14"/>
  <c r="J24" i="14" s="1"/>
  <c r="F92" i="14"/>
  <c r="F23" i="14"/>
  <c r="F24" i="14" s="1"/>
  <c r="I23" i="14"/>
  <c r="I24" i="14" s="1"/>
  <c r="I92" i="14"/>
  <c r="G92" i="14"/>
  <c r="G23" i="14"/>
  <c r="G24" i="14" s="1"/>
  <c r="C90" i="14"/>
  <c r="C92" i="14" s="1"/>
  <c r="C23" i="14"/>
  <c r="C24" i="14" s="1"/>
  <c r="E92" i="14"/>
  <c r="E23" i="14"/>
  <c r="E24" i="14" s="1"/>
  <c r="D18" i="14"/>
  <c r="D21" i="14" s="1"/>
  <c r="D90" i="14" s="1"/>
  <c r="K18" i="14"/>
  <c r="K21" i="14" s="1"/>
  <c r="K90" i="14" s="1"/>
  <c r="H18" i="14"/>
  <c r="H21" i="14" s="1"/>
  <c r="H90" i="14" s="1"/>
  <c r="L16" i="14"/>
  <c r="N27" i="14"/>
  <c r="M57" i="14"/>
  <c r="M67" i="14" s="1"/>
  <c r="M71" i="14" s="1"/>
  <c r="M10" i="14" s="1"/>
  <c r="M14" i="14" s="1"/>
  <c r="K92" i="14" l="1"/>
  <c r="K23" i="14"/>
  <c r="K24" i="14" s="1"/>
  <c r="H92" i="14"/>
  <c r="H23" i="14"/>
  <c r="H24" i="14" s="1"/>
  <c r="D92" i="14"/>
  <c r="D23" i="14"/>
  <c r="L18" i="14"/>
  <c r="L21" i="14" s="1"/>
  <c r="L90" i="14" s="1"/>
  <c r="M16" i="14"/>
  <c r="D24" i="14"/>
  <c r="O27" i="14"/>
  <c r="N57" i="14"/>
  <c r="N67" i="14" s="1"/>
  <c r="N71" i="14" s="1"/>
  <c r="N10" i="14" s="1"/>
  <c r="N14" i="14" s="1"/>
  <c r="L23" i="14" l="1"/>
  <c r="L24" i="14" s="1"/>
  <c r="L92" i="14"/>
  <c r="M18" i="14"/>
  <c r="M21" i="14" s="1"/>
  <c r="M90" i="14" s="1"/>
  <c r="N16" i="14"/>
  <c r="P27" i="14"/>
  <c r="O57" i="14"/>
  <c r="O67" i="14" s="1"/>
  <c r="O71" i="14" s="1"/>
  <c r="O10" i="14" s="1"/>
  <c r="O14" i="14" s="1"/>
  <c r="M23" i="14" l="1"/>
  <c r="M24" i="14" s="1"/>
  <c r="M92" i="14"/>
  <c r="N18" i="14"/>
  <c r="N21" i="14" s="1"/>
  <c r="N90" i="14" s="1"/>
  <c r="O16" i="14"/>
  <c r="Q27" i="14"/>
  <c r="P57" i="14"/>
  <c r="P67" i="14" s="1"/>
  <c r="P71" i="14" s="1"/>
  <c r="P10" i="14" s="1"/>
  <c r="P14" i="14" s="1"/>
  <c r="N92" i="14" l="1"/>
  <c r="N23" i="14"/>
  <c r="O18" i="14"/>
  <c r="O21" i="14" s="1"/>
  <c r="O90" i="14" s="1"/>
  <c r="N24" i="14"/>
  <c r="P16" i="14"/>
  <c r="R27" i="14"/>
  <c r="Q57" i="14"/>
  <c r="Q67" i="14" s="1"/>
  <c r="Q71" i="14" s="1"/>
  <c r="Q10" i="14" s="1"/>
  <c r="Q14" i="14" s="1"/>
  <c r="O92" i="14" l="1"/>
  <c r="O23" i="14"/>
  <c r="O24" i="14" s="1"/>
  <c r="P18" i="14"/>
  <c r="P21" i="14" s="1"/>
  <c r="P90" i="14" s="1"/>
  <c r="Q16" i="14"/>
  <c r="S27" i="14"/>
  <c r="R57" i="14"/>
  <c r="R67" i="14" s="1"/>
  <c r="R71" i="14" s="1"/>
  <c r="R10" i="14" s="1"/>
  <c r="R14" i="14" s="1"/>
  <c r="P23" i="14" l="1"/>
  <c r="P24" i="14" s="1"/>
  <c r="P92" i="14"/>
  <c r="Q18" i="14"/>
  <c r="Q21" i="14" s="1"/>
  <c r="Q90" i="14" s="1"/>
  <c r="R16" i="14"/>
  <c r="T27" i="14"/>
  <c r="S57" i="14"/>
  <c r="S67" i="14" s="1"/>
  <c r="S71" i="14" s="1"/>
  <c r="S10" i="14" s="1"/>
  <c r="S14" i="14" s="1"/>
  <c r="Q92" i="14" l="1"/>
  <c r="Q23" i="14"/>
  <c r="R18" i="14"/>
  <c r="R21" i="14" s="1"/>
  <c r="R90" i="14" s="1"/>
  <c r="Q24" i="14"/>
  <c r="S16" i="14"/>
  <c r="U27" i="14"/>
  <c r="T57" i="14"/>
  <c r="T67" i="14" s="1"/>
  <c r="T71" i="14" s="1"/>
  <c r="T10" i="14" s="1"/>
  <c r="T14" i="14" s="1"/>
  <c r="R92" i="14" l="1"/>
  <c r="R23" i="14"/>
  <c r="R24" i="14" s="1"/>
  <c r="S18" i="14"/>
  <c r="S21" i="14" s="1"/>
  <c r="S90" i="14" s="1"/>
  <c r="T16" i="14"/>
  <c r="V27" i="14"/>
  <c r="U57" i="14"/>
  <c r="U67" i="14" s="1"/>
  <c r="U71" i="14" s="1"/>
  <c r="U10" i="14" s="1"/>
  <c r="U14" i="14" s="1"/>
  <c r="S23" i="14" l="1"/>
  <c r="S24" i="14" s="1"/>
  <c r="S92" i="14"/>
  <c r="T18" i="14"/>
  <c r="T21" i="14" s="1"/>
  <c r="T90" i="14" s="1"/>
  <c r="U16" i="14"/>
  <c r="W27" i="14"/>
  <c r="V57" i="14"/>
  <c r="V67" i="14" s="1"/>
  <c r="V71" i="14" s="1"/>
  <c r="V10" i="14" s="1"/>
  <c r="V14" i="14" s="1"/>
  <c r="T23" i="14" l="1"/>
  <c r="T24" i="14" s="1"/>
  <c r="T92" i="14"/>
  <c r="U18" i="14"/>
  <c r="U21" i="14" s="1"/>
  <c r="U90" i="14" s="1"/>
  <c r="V16" i="14"/>
  <c r="W57" i="14"/>
  <c r="W67" i="14" s="1"/>
  <c r="W71" i="14" s="1"/>
  <c r="W10" i="14" s="1"/>
  <c r="W14" i="14" s="1"/>
  <c r="U92" i="14" l="1"/>
  <c r="U23" i="14"/>
  <c r="U24" i="14" s="1"/>
  <c r="V18" i="14"/>
  <c r="V21" i="14" s="1"/>
  <c r="V90" i="14" s="1"/>
  <c r="W16" i="14"/>
  <c r="V92" i="14" l="1"/>
  <c r="V23" i="14"/>
  <c r="V24" i="14" s="1"/>
  <c r="W18" i="14"/>
  <c r="W21" i="14" s="1"/>
  <c r="W90" i="14" s="1"/>
  <c r="W92" i="14" l="1"/>
  <c r="W23" i="14"/>
  <c r="W24" i="14" s="1"/>
  <c r="Q8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Andy Ratliff</author>
    <author>Ed King</author>
  </authors>
  <commentList>
    <comment ref="A8" authorId="0" shapeId="0" xr:uid="{00000000-0006-0000-0000-000001000000}">
      <text>
        <r>
          <rPr>
            <b/>
            <sz val="9"/>
            <color indexed="81"/>
            <rFont val="Tahoma"/>
            <family val="2"/>
          </rPr>
          <t>Andy Ratliff:</t>
        </r>
        <r>
          <rPr>
            <sz val="9"/>
            <color indexed="81"/>
            <rFont val="Tahoma"/>
            <family val="2"/>
          </rPr>
          <t xml:space="preserve">
lesser of what was approved by MOA or the state cap</t>
        </r>
      </text>
    </comment>
    <comment ref="C47" authorId="1" shapeId="0" xr:uid="{B5AA7C09-5F94-42B5-B264-E35AEF2ECA31}">
      <text>
        <r>
          <rPr>
            <b/>
            <sz val="9"/>
            <color indexed="81"/>
            <rFont val="Tahoma"/>
            <family val="2"/>
          </rPr>
          <t>Ed King:</t>
        </r>
        <r>
          <rPr>
            <sz val="9"/>
            <color indexed="81"/>
            <rFont val="Tahoma"/>
            <family val="2"/>
          </rPr>
          <t xml:space="preserve">
Based on ASD Intensive Needs ratio.</t>
        </r>
      </text>
    </comment>
    <comment ref="C79" authorId="0" shapeId="0" xr:uid="{00000000-0006-0000-0000-000005000000}">
      <text>
        <r>
          <rPr>
            <b/>
            <sz val="9"/>
            <color indexed="81"/>
            <rFont val="Tahoma"/>
            <family val="2"/>
          </rPr>
          <t>Andy Ratliff:</t>
        </r>
        <r>
          <rPr>
            <sz val="9"/>
            <color indexed="81"/>
            <rFont val="Tahoma"/>
            <family val="2"/>
          </rPr>
          <t xml:space="preserve">
Lesser of what was approved by MOA or State cap</t>
        </r>
      </text>
    </comment>
    <comment ref="C88" authorId="1" shapeId="0" xr:uid="{778A4C77-A1EB-4D60-AA6C-56F721355DA8}">
      <text>
        <r>
          <rPr>
            <b/>
            <sz val="9"/>
            <color indexed="81"/>
            <rFont val="Tahoma"/>
            <family val="2"/>
          </rPr>
          <t>Ed King:</t>
        </r>
        <r>
          <rPr>
            <sz val="9"/>
            <color indexed="81"/>
            <rFont val="Tahoma"/>
            <family val="2"/>
          </rPr>
          <t xml:space="preserve">
This number needs refinement</t>
        </r>
      </text>
    </comment>
    <comment ref="C89" authorId="1" shapeId="0" xr:uid="{5344DF03-6E1F-412C-AA8D-610AEE9EE070}">
      <text>
        <r>
          <rPr>
            <b/>
            <sz val="9"/>
            <color indexed="81"/>
            <rFont val="Tahoma"/>
            <family val="2"/>
          </rPr>
          <t>Ed King:</t>
        </r>
        <r>
          <rPr>
            <sz val="9"/>
            <color indexed="81"/>
            <rFont val="Tahoma"/>
            <family val="2"/>
          </rPr>
          <t xml:space="preserve">
This number needs refinement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 King</author>
  </authors>
  <commentList>
    <comment ref="C3" authorId="0" shapeId="0" xr:uid="{A50238ED-D210-4BF4-9105-D8E50A8E2630}">
      <text>
        <r>
          <rPr>
            <b/>
            <sz val="9"/>
            <color indexed="81"/>
            <rFont val="Tahoma"/>
            <family val="2"/>
          </rPr>
          <t>Ed King:</t>
        </r>
        <r>
          <rPr>
            <sz val="9"/>
            <color indexed="81"/>
            <rFont val="Tahoma"/>
            <family val="2"/>
          </rPr>
          <t xml:space="preserve">
Based on data provided by Lance Roberts via text</t>
        </r>
      </text>
    </comment>
    <comment ref="F3" authorId="0" shapeId="0" xr:uid="{F1765172-DB3B-471B-B7C5-7C408B9889F5}">
      <text>
        <r>
          <rPr>
            <b/>
            <sz val="9"/>
            <color indexed="81"/>
            <rFont val="Tahoma"/>
            <family val="2"/>
          </rPr>
          <t>Ed King:</t>
        </r>
        <r>
          <rPr>
            <sz val="9"/>
            <color indexed="81"/>
            <rFont val="Tahoma"/>
            <family val="2"/>
          </rPr>
          <t xml:space="preserve">
Estimated $1,023 per eligible student (national low-poverty level). Assumes 10% poverty level and 2 children per household</t>
        </r>
      </text>
    </comment>
    <comment ref="I3" authorId="0" shapeId="0" xr:uid="{59CA363E-7BB2-4758-9742-EC6E4B2DFC10}">
      <text>
        <r>
          <rPr>
            <b/>
            <sz val="9"/>
            <color indexed="81"/>
            <rFont val="Tahoma"/>
            <family val="2"/>
          </rPr>
          <t>Ed King:</t>
        </r>
        <r>
          <rPr>
            <sz val="9"/>
            <color indexed="81"/>
            <rFont val="Tahoma"/>
            <family val="2"/>
          </rPr>
          <t xml:space="preserve">
Based on data provided. </t>
        </r>
      </text>
    </comment>
    <comment ref="F4" authorId="0" shapeId="0" xr:uid="{87412CA0-16CA-40A3-9980-B2DEF29A4970}">
      <text>
        <r>
          <rPr>
            <b/>
            <sz val="9"/>
            <color indexed="81"/>
            <rFont val="Tahoma"/>
            <family val="2"/>
          </rPr>
          <t>Ed King:</t>
        </r>
        <r>
          <rPr>
            <sz val="9"/>
            <color indexed="81"/>
            <rFont val="Tahoma"/>
            <family val="2"/>
          </rPr>
          <t xml:space="preserve">
Based on Statewide average funding rate. Actual number is likely lower in this district.</t>
        </r>
      </text>
    </comment>
    <comment ref="C5" authorId="0" shapeId="0" xr:uid="{04DF433D-AE05-4CB7-A1AF-27B967DF4C6B}">
      <text>
        <r>
          <rPr>
            <b/>
            <sz val="9"/>
            <color indexed="81"/>
            <rFont val="Tahoma"/>
            <family val="2"/>
          </rPr>
          <t>Ed King:</t>
        </r>
        <r>
          <rPr>
            <sz val="9"/>
            <color indexed="81"/>
            <rFont val="Tahoma"/>
            <family val="2"/>
          </rPr>
          <t xml:space="preserve">
This is the Mat-Su factor. CSD will need a statory change to establish a factor. </t>
        </r>
      </text>
    </comment>
    <comment ref="F5" authorId="0" shapeId="0" xr:uid="{801FAFDD-96D8-4D67-94F7-D5861193AF60}">
      <text>
        <r>
          <rPr>
            <b/>
            <sz val="9"/>
            <color indexed="81"/>
            <rFont val="Tahoma"/>
            <family val="2"/>
          </rPr>
          <t>Ed King:</t>
        </r>
        <r>
          <rPr>
            <sz val="9"/>
            <color indexed="81"/>
            <rFont val="Tahoma"/>
            <family val="2"/>
          </rPr>
          <t xml:space="preserve">
This is the amount Juneau got. This funding is competitive, with awards going to Mat-Su, Kenai, Anchorage, Juneau, and Fairbanks.</t>
        </r>
      </text>
    </comment>
    <comment ref="F6" authorId="0" shapeId="0" xr:uid="{1D186382-E4A3-489A-A8E9-A6079D6F599E}">
      <text>
        <r>
          <rPr>
            <b/>
            <sz val="9"/>
            <color indexed="81"/>
            <rFont val="Tahoma"/>
            <family val="2"/>
          </rPr>
          <t>Ed King:</t>
        </r>
        <r>
          <rPr>
            <sz val="9"/>
            <color indexed="81"/>
            <rFont val="Tahoma"/>
            <family val="2"/>
          </rPr>
          <t xml:space="preserve">
Based on Mat-Su per pupil award</t>
        </r>
      </text>
    </comment>
    <comment ref="F7" authorId="0" shapeId="0" xr:uid="{12E187DD-7872-445A-91A2-82E35BE52B3A}">
      <text>
        <r>
          <rPr>
            <b/>
            <sz val="9"/>
            <color indexed="81"/>
            <rFont val="Tahoma"/>
            <family val="2"/>
          </rPr>
          <t>Ed King:</t>
        </r>
        <r>
          <rPr>
            <sz val="9"/>
            <color indexed="81"/>
            <rFont val="Tahoma"/>
            <family val="2"/>
          </rPr>
          <t xml:space="preserve">
Based on Mat-Su per pupil award
</t>
        </r>
      </text>
    </comment>
    <comment ref="F8" authorId="0" shapeId="0" xr:uid="{0DE2192D-9F8B-4F59-AB68-E9E28920A4B3}">
      <text>
        <r>
          <rPr>
            <b/>
            <sz val="9"/>
            <color indexed="81"/>
            <rFont val="Tahoma"/>
            <family val="2"/>
          </rPr>
          <t>Ed King:</t>
        </r>
        <r>
          <rPr>
            <sz val="9"/>
            <color indexed="81"/>
            <rFont val="Tahoma"/>
            <family val="2"/>
          </rPr>
          <t xml:space="preserve">
Based on Mat-Su per pupil award</t>
        </r>
      </text>
    </comment>
    <comment ref="C9" authorId="0" shapeId="0" xr:uid="{C7616E2E-CB5F-4A4A-8F00-5A951A0DF770}">
      <text>
        <r>
          <rPr>
            <b/>
            <sz val="9"/>
            <color indexed="81"/>
            <rFont val="Tahoma"/>
            <family val="2"/>
          </rPr>
          <t>Ed King:</t>
        </r>
        <r>
          <rPr>
            <sz val="9"/>
            <color indexed="81"/>
            <rFont val="Tahoma"/>
            <family val="2"/>
          </rPr>
          <t xml:space="preserve">
These students are assumed to be in Anchorage correspondence programs, which will convert to CSD's program (these are additional to projected school enrollment)</t>
        </r>
      </text>
    </comment>
    <comment ref="F9" authorId="0" shapeId="0" xr:uid="{841A6A1F-7684-4080-B64E-7AAA022ED95A}">
      <text>
        <r>
          <rPr>
            <b/>
            <sz val="9"/>
            <color indexed="81"/>
            <rFont val="Tahoma"/>
            <family val="2"/>
          </rPr>
          <t>Ed King:</t>
        </r>
        <r>
          <rPr>
            <sz val="9"/>
            <color indexed="81"/>
            <rFont val="Tahoma"/>
            <family val="2"/>
          </rPr>
          <t xml:space="preserve">
Based on Mat-Su per pupil award</t>
        </r>
      </text>
    </comment>
    <comment ref="C10" authorId="0" shapeId="0" xr:uid="{4EF765F0-D834-4C7D-A309-1950C8E77FFA}">
      <text>
        <r>
          <rPr>
            <b/>
            <sz val="9"/>
            <color indexed="81"/>
            <rFont val="Tahoma"/>
            <family val="2"/>
          </rPr>
          <t>Ed King:</t>
        </r>
        <r>
          <rPr>
            <sz val="9"/>
            <color indexed="81"/>
            <rFont val="Tahoma"/>
            <family val="2"/>
          </rPr>
          <t xml:space="preserve">
Based on the state average ratio of Intensive needs relative to the student population</t>
        </r>
      </text>
    </comment>
    <comment ref="F10" authorId="0" shapeId="0" xr:uid="{5200AB02-B06C-48B5-B75D-1E1354FABC67}">
      <text>
        <r>
          <rPr>
            <b/>
            <sz val="9"/>
            <color indexed="81"/>
            <rFont val="Tahoma"/>
            <family val="2"/>
          </rPr>
          <t>Ed King:</t>
        </r>
        <r>
          <rPr>
            <sz val="9"/>
            <color indexed="81"/>
            <rFont val="Tahoma"/>
            <family val="2"/>
          </rPr>
          <t xml:space="preserve">
These funds are available via grant. The district may be eligible for this grant with a qualifying project. </t>
        </r>
      </text>
    </comment>
    <comment ref="F11" authorId="0" shapeId="0" xr:uid="{968F8937-2703-4DF7-A17E-2F478C9B2AF3}">
      <text>
        <r>
          <rPr>
            <b/>
            <sz val="9"/>
            <color indexed="81"/>
            <rFont val="Tahoma"/>
            <family val="2"/>
          </rPr>
          <t>Ed King:</t>
        </r>
        <r>
          <rPr>
            <sz val="9"/>
            <color indexed="81"/>
            <rFont val="Tahoma"/>
            <family val="2"/>
          </rPr>
          <t xml:space="preserve">
Based on statewide average award per pupil</t>
        </r>
      </text>
    </comment>
    <comment ref="C12" authorId="0" shapeId="0" xr:uid="{6F2FCB9B-68EF-489D-9ECD-4A939FAFC0DE}">
      <text>
        <r>
          <rPr>
            <b/>
            <sz val="9"/>
            <color indexed="81"/>
            <rFont val="Tahoma"/>
            <family val="2"/>
          </rPr>
          <t>Ed King:</t>
        </r>
        <r>
          <rPr>
            <sz val="9"/>
            <color indexed="81"/>
            <rFont val="Tahoma"/>
            <family val="2"/>
          </rPr>
          <t xml:space="preserve">
ASD = 449
Mat-Su = 939</t>
        </r>
      </text>
    </comment>
    <comment ref="F12" authorId="0" shapeId="0" xr:uid="{C5301A92-10DC-475B-8199-3DE00177CC64}">
      <text>
        <r>
          <rPr>
            <b/>
            <sz val="9"/>
            <color indexed="81"/>
            <rFont val="Tahoma"/>
            <family val="2"/>
          </rPr>
          <t>Ed King:</t>
        </r>
        <r>
          <rPr>
            <sz val="9"/>
            <color indexed="81"/>
            <rFont val="Tahoma"/>
            <family val="2"/>
          </rPr>
          <t xml:space="preserve">
Calculated to the right</t>
        </r>
      </text>
    </comment>
    <comment ref="C13" authorId="0" shapeId="0" xr:uid="{C6CBAD13-22E2-4A18-B3DA-2A2F0935CA54}">
      <text>
        <r>
          <rPr>
            <b/>
            <sz val="9"/>
            <color indexed="81"/>
            <rFont val="Tahoma"/>
            <family val="2"/>
          </rPr>
          <t>Ed King:</t>
        </r>
        <r>
          <rPr>
            <sz val="9"/>
            <color indexed="81"/>
            <rFont val="Tahoma"/>
            <family val="2"/>
          </rPr>
          <t xml:space="preserve">
Mat-su = 61.01%
ASD = 55.46%</t>
        </r>
      </text>
    </comment>
    <comment ref="F16" authorId="0" shapeId="0" xr:uid="{D7D88B25-2495-4945-AF70-D9AC8095238F}">
      <text>
        <r>
          <rPr>
            <b/>
            <sz val="9"/>
            <color indexed="81"/>
            <rFont val="Tahoma"/>
            <family val="2"/>
          </rPr>
          <t>Ed King:</t>
        </r>
        <r>
          <rPr>
            <sz val="9"/>
            <color indexed="81"/>
            <rFont val="Tahoma"/>
            <family val="2"/>
          </rPr>
          <t xml:space="preserve">
None of the schools in the new district are on the list of eligible schools.</t>
        </r>
      </text>
    </comment>
    <comment ref="F17" authorId="0" shapeId="0" xr:uid="{60CC59C3-C754-492C-8CAF-928453BEFEE7}">
      <text>
        <r>
          <rPr>
            <b/>
            <sz val="9"/>
            <color indexed="81"/>
            <rFont val="Tahoma"/>
            <family val="2"/>
          </rPr>
          <t>Ed King:</t>
        </r>
        <r>
          <rPr>
            <sz val="9"/>
            <color indexed="81"/>
            <rFont val="Tahoma"/>
            <family val="2"/>
          </rPr>
          <t xml:space="preserve">
Based on Mat-su award</t>
        </r>
      </text>
    </comment>
    <comment ref="F18" authorId="0" shapeId="0" xr:uid="{446F6418-FD7A-46E3-B2D3-2E7EEDEC9DA2}">
      <text>
        <r>
          <rPr>
            <b/>
            <sz val="9"/>
            <color indexed="81"/>
            <rFont val="Tahoma"/>
            <family val="2"/>
          </rPr>
          <t>Ed King:</t>
        </r>
        <r>
          <rPr>
            <sz val="9"/>
            <color indexed="81"/>
            <rFont val="Tahoma"/>
            <family val="2"/>
          </rPr>
          <t xml:space="preserve">
Based on Mat-su award</t>
        </r>
      </text>
    </comment>
    <comment ref="F19" authorId="0" shapeId="0" xr:uid="{E52B6D55-C57E-4E86-B918-47CC5511C60A}">
      <text>
        <r>
          <rPr>
            <b/>
            <sz val="9"/>
            <color indexed="81"/>
            <rFont val="Tahoma"/>
            <family val="2"/>
          </rPr>
          <t>Ed King:</t>
        </r>
        <r>
          <rPr>
            <sz val="9"/>
            <color indexed="81"/>
            <rFont val="Tahoma"/>
            <family val="2"/>
          </rPr>
          <t xml:space="preserve">
Based on Mat-su</t>
        </r>
      </text>
    </comment>
    <comment ref="F20" authorId="0" shapeId="0" xr:uid="{E7725601-FBA1-474A-8F70-B327EA6E82E2}">
      <text>
        <r>
          <rPr>
            <b/>
            <sz val="9"/>
            <color indexed="81"/>
            <rFont val="Tahoma"/>
            <family val="2"/>
          </rPr>
          <t>Ed King:</t>
        </r>
        <r>
          <rPr>
            <sz val="9"/>
            <color indexed="81"/>
            <rFont val="Tahoma"/>
            <family val="2"/>
          </rPr>
          <t xml:space="preserve">
Based on Mat-su</t>
        </r>
      </text>
    </comment>
    <comment ref="F21" authorId="0" shapeId="0" xr:uid="{5F47A637-C58C-449A-B062-5F956586D579}">
      <text>
        <r>
          <rPr>
            <b/>
            <sz val="9"/>
            <color indexed="81"/>
            <rFont val="Tahoma"/>
            <family val="2"/>
          </rPr>
          <t>Ed King:</t>
        </r>
        <r>
          <rPr>
            <sz val="9"/>
            <color indexed="81"/>
            <rFont val="Tahoma"/>
            <family val="2"/>
          </rPr>
          <t xml:space="preserve">
It's unclear if the new district would qualify. Mat-Su and Juneau did not receive an award while ASD got $1M. Kenai got $21k and Fairbanks got $15k.</t>
        </r>
      </text>
    </comment>
    <comment ref="F22" authorId="0" shapeId="0" xr:uid="{5F19EFCF-D2FC-42ED-A8F5-F23DC594DA6C}">
      <text>
        <r>
          <rPr>
            <b/>
            <sz val="9"/>
            <color indexed="81"/>
            <rFont val="Tahoma"/>
            <family val="2"/>
          </rPr>
          <t>Ed King:</t>
        </r>
        <r>
          <rPr>
            <sz val="9"/>
            <color indexed="81"/>
            <rFont val="Tahoma"/>
            <family val="2"/>
          </rPr>
          <t xml:space="preserve">
Average award (does not appear to be correlated with population)</t>
        </r>
      </text>
    </comment>
    <comment ref="F23" authorId="0" shapeId="0" xr:uid="{DD1C9D42-E853-4274-B244-293DBD387FEF}">
      <text>
        <r>
          <rPr>
            <b/>
            <sz val="9"/>
            <color indexed="81"/>
            <rFont val="Tahoma"/>
            <family val="2"/>
          </rPr>
          <t>Ed King:</t>
        </r>
        <r>
          <rPr>
            <sz val="9"/>
            <color indexed="81"/>
            <rFont val="Tahoma"/>
            <family val="2"/>
          </rPr>
          <t xml:space="preserve">
Based on Mat-Su</t>
        </r>
      </text>
    </comment>
    <comment ref="F24" authorId="0" shapeId="0" xr:uid="{CD85A93D-33DF-4DCD-8D46-6DCCDED2A883}">
      <text>
        <r>
          <rPr>
            <b/>
            <sz val="9"/>
            <color indexed="81"/>
            <rFont val="Tahoma"/>
            <family val="2"/>
          </rPr>
          <t>Ed King:</t>
        </r>
        <r>
          <rPr>
            <sz val="9"/>
            <color indexed="81"/>
            <rFont val="Tahoma"/>
            <family val="2"/>
          </rPr>
          <t xml:space="preserve">
The district may qualify for this funding if certain conditions are prevelant. </t>
        </r>
      </text>
    </comment>
    <comment ref="F25" authorId="0" shapeId="0" xr:uid="{5175E955-79EA-4217-A717-451F3AB93B3B}">
      <text>
        <r>
          <rPr>
            <b/>
            <sz val="9"/>
            <color indexed="81"/>
            <rFont val="Tahoma"/>
            <family val="2"/>
          </rPr>
          <t>Ed King:</t>
        </r>
        <r>
          <rPr>
            <sz val="9"/>
            <color indexed="81"/>
            <rFont val="Tahoma"/>
            <family val="2"/>
          </rPr>
          <t xml:space="preserve">
The district may qualify for this funding if certain conditions are prevelant. </t>
        </r>
      </text>
    </comment>
    <comment ref="F26" authorId="0" shapeId="0" xr:uid="{3DEBC1D4-493C-4198-8650-FF5B8C7DCE92}">
      <text>
        <r>
          <rPr>
            <b/>
            <sz val="9"/>
            <color indexed="81"/>
            <rFont val="Tahoma"/>
            <family val="2"/>
          </rPr>
          <t>Ed King:</t>
        </r>
        <r>
          <rPr>
            <sz val="9"/>
            <color indexed="81"/>
            <rFont val="Tahoma"/>
            <family val="2"/>
          </rPr>
          <t xml:space="preserve">
Based on Mat-Su</t>
        </r>
      </text>
    </comment>
    <comment ref="F27" authorId="0" shapeId="0" xr:uid="{04A435CA-0569-4368-B3FB-6A18A861FD26}">
      <text>
        <r>
          <rPr>
            <b/>
            <sz val="9"/>
            <color indexed="81"/>
            <rFont val="Tahoma"/>
            <family val="2"/>
          </rPr>
          <t>Ed King:</t>
        </r>
        <r>
          <rPr>
            <sz val="9"/>
            <color indexed="81"/>
            <rFont val="Tahoma"/>
            <family val="2"/>
          </rPr>
          <t xml:space="preserve">
The district may be eligible for this grant.</t>
        </r>
      </text>
    </comment>
    <comment ref="F28" authorId="0" shapeId="0" xr:uid="{C41B3CDA-0E15-4B71-82E2-8A7F8C48D30F}">
      <text>
        <r>
          <rPr>
            <b/>
            <sz val="9"/>
            <color indexed="81"/>
            <rFont val="Tahoma"/>
            <family val="2"/>
          </rPr>
          <t>Ed King:</t>
        </r>
        <r>
          <rPr>
            <sz val="9"/>
            <color indexed="81"/>
            <rFont val="Tahoma"/>
            <family val="2"/>
          </rPr>
          <t xml:space="preserve">
Based on Mat-Su. Note that other comparable districts have higher values. </t>
        </r>
      </text>
    </comment>
    <comment ref="F29" authorId="0" shapeId="0" xr:uid="{C3E102D5-ECC7-421E-B099-D06408CDF8B9}">
      <text>
        <r>
          <rPr>
            <b/>
            <sz val="9"/>
            <color indexed="81"/>
            <rFont val="Tahoma"/>
            <family val="2"/>
          </rPr>
          <t>Ed King:</t>
        </r>
        <r>
          <rPr>
            <sz val="9"/>
            <color indexed="81"/>
            <rFont val="Tahoma"/>
            <family val="2"/>
          </rPr>
          <t xml:space="preserve">
Based on Mat-Su. CSD should qualify for a 40% reimbursement.</t>
        </r>
      </text>
    </comment>
    <comment ref="I31" authorId="0" shapeId="0" xr:uid="{7E66C026-11B3-4CBB-B201-6BDD928327BD}">
      <text>
        <r>
          <rPr>
            <b/>
            <sz val="9"/>
            <color indexed="81"/>
            <rFont val="Tahoma"/>
            <family val="2"/>
          </rPr>
          <t>Ed King:</t>
        </r>
        <r>
          <rPr>
            <sz val="9"/>
            <color indexed="81"/>
            <rFont val="Tahoma"/>
            <family val="2"/>
          </rPr>
          <t xml:space="preserve">
Student enrollment in the base schools (assumes those student live on base)</t>
        </r>
      </text>
    </comment>
    <comment ref="I32" authorId="0" shapeId="0" xr:uid="{77B6010C-C229-46DF-9F8D-D7607B0B29FA}">
      <text>
        <r>
          <rPr>
            <b/>
            <sz val="9"/>
            <color indexed="81"/>
            <rFont val="Tahoma"/>
            <family val="2"/>
          </rPr>
          <t xml:space="preserve">Ed King:
</t>
        </r>
        <r>
          <rPr>
            <sz val="9"/>
            <color indexed="81"/>
            <rFont val="Tahoma"/>
            <family val="2"/>
          </rPr>
          <t>15,288 military with 55% average married rate = estimated spouses. 18,844 dependents - spouses = kids. 2/3 kids are school age. 12% of population lives in Eagle River/Chugiak. 
https://armybases.org/fort-richardson-ak-alaska/#:~:text=There%20are%20currently%2015%2C288%20military%20personnel%20on%20active,in%20JBER%20is%20operated%20by%20Aurora%20Military%20Housing.</t>
        </r>
      </text>
    </comment>
    <comment ref="I33" authorId="0" shapeId="0" xr:uid="{CDA35A2C-E496-486F-B8A5-21119E4D3758}">
      <text>
        <r>
          <rPr>
            <b/>
            <sz val="9"/>
            <color indexed="81"/>
            <rFont val="Tahoma"/>
            <family val="2"/>
          </rPr>
          <t>Ed King:</t>
        </r>
        <r>
          <rPr>
            <sz val="9"/>
            <color indexed="81"/>
            <rFont val="Tahoma"/>
            <family val="2"/>
          </rPr>
          <t xml:space="preserve">
No data available. </t>
        </r>
      </text>
    </comment>
    <comment ref="I34" authorId="0" shapeId="0" xr:uid="{658F7532-0052-4E0B-9AC3-DC032638275D}">
      <text>
        <r>
          <rPr>
            <b/>
            <sz val="9"/>
            <color indexed="81"/>
            <rFont val="Tahoma"/>
            <family val="2"/>
          </rPr>
          <t>Ed King:</t>
        </r>
        <r>
          <rPr>
            <sz val="9"/>
            <color indexed="81"/>
            <rFont val="Tahoma"/>
            <family val="2"/>
          </rPr>
          <t xml:space="preserve">
No data available.</t>
        </r>
      </text>
    </comment>
    <comment ref="F35" authorId="0" shapeId="0" xr:uid="{61F45B4A-0A92-4FC9-87B2-1BEE3035AB3D}">
      <text>
        <r>
          <rPr>
            <b/>
            <sz val="9"/>
            <color indexed="81"/>
            <rFont val="Tahoma"/>
            <family val="2"/>
          </rPr>
          <t>Ed King:</t>
        </r>
        <r>
          <rPr>
            <sz val="9"/>
            <color indexed="81"/>
            <rFont val="Tahoma"/>
            <family val="2"/>
          </rPr>
          <t xml:space="preserve">
Estimated from Mat-Su rate. A new rate will be required for CSD</t>
        </r>
      </text>
    </comment>
    <comment ref="F36" authorId="0" shapeId="0" xr:uid="{262617AB-9413-41B2-85BF-D2E1D4949DF1}">
      <text>
        <r>
          <rPr>
            <b/>
            <sz val="9"/>
            <color indexed="81"/>
            <rFont val="Tahoma"/>
            <family val="2"/>
          </rPr>
          <t>Ed King:</t>
        </r>
        <r>
          <rPr>
            <sz val="9"/>
            <color indexed="81"/>
            <rFont val="Tahoma"/>
            <family val="2"/>
          </rPr>
          <t xml:space="preserve">
CSD can qualify for a 3-Year pre-K development grant after being established.</t>
        </r>
      </text>
    </comment>
    <comment ref="I36" authorId="0" shapeId="0" xr:uid="{98F8FE54-A38B-4386-A0E2-42F1AF5C5F29}">
      <text>
        <r>
          <rPr>
            <b/>
            <sz val="9"/>
            <color indexed="81"/>
            <rFont val="Tahoma"/>
            <family val="2"/>
          </rPr>
          <t>Ed King:</t>
        </r>
        <r>
          <rPr>
            <sz val="9"/>
            <color indexed="81"/>
            <rFont val="Tahoma"/>
            <family val="2"/>
          </rPr>
          <t xml:space="preserve">
Based on US Census data.</t>
        </r>
      </text>
    </comment>
    <comment ref="F37" authorId="0" shapeId="0" xr:uid="{39AC8487-E4AF-499B-9060-E7378FEDA6C7}">
      <text>
        <r>
          <rPr>
            <b/>
            <sz val="9"/>
            <color indexed="81"/>
            <rFont val="Tahoma"/>
            <family val="2"/>
          </rPr>
          <t>Ed King:</t>
        </r>
        <r>
          <rPr>
            <sz val="9"/>
            <color indexed="81"/>
            <rFont val="Tahoma"/>
            <family val="2"/>
          </rPr>
          <t xml:space="preserve">
It does not appear that the new district will have a qualifying facility for this funding. </t>
        </r>
      </text>
    </comment>
    <comment ref="F38" authorId="0" shapeId="0" xr:uid="{52EC2090-58D4-449C-B0E0-A54966C5D465}">
      <text>
        <r>
          <rPr>
            <b/>
            <sz val="9"/>
            <color indexed="81"/>
            <rFont val="Tahoma"/>
            <family val="2"/>
          </rPr>
          <t>Ed King:</t>
        </r>
        <r>
          <rPr>
            <sz val="9"/>
            <color indexed="81"/>
            <rFont val="Tahoma"/>
            <family val="2"/>
          </rPr>
          <t xml:space="preserve">
$26k of additional funding is available for each facility in the district. </t>
        </r>
      </text>
    </comment>
    <comment ref="I38" authorId="0" shapeId="0" xr:uid="{E7751C3F-86E5-46BF-A1AF-4DBCE27E41BA}">
      <text>
        <r>
          <rPr>
            <b/>
            <sz val="9"/>
            <color indexed="81"/>
            <rFont val="Tahoma"/>
            <family val="2"/>
          </rPr>
          <t>Ed King:</t>
        </r>
        <r>
          <rPr>
            <sz val="9"/>
            <color indexed="81"/>
            <rFont val="Tahoma"/>
            <family val="2"/>
          </rPr>
          <t xml:space="preserve">
Estimated from Mat-Su per pupil expenditures (GF only)</t>
        </r>
      </text>
    </comment>
    <comment ref="F39" authorId="0" shapeId="0" xr:uid="{2F53A7FB-4764-4C6B-AF25-C73BE40330D5}">
      <text>
        <r>
          <rPr>
            <b/>
            <sz val="9"/>
            <color indexed="81"/>
            <rFont val="Tahoma"/>
            <family val="2"/>
          </rPr>
          <t>Ed King:</t>
        </r>
        <r>
          <rPr>
            <sz val="9"/>
            <color indexed="81"/>
            <rFont val="Tahoma"/>
            <family val="2"/>
          </rPr>
          <t xml:space="preserve">
A $30k grant is available for select districts.</t>
        </r>
      </text>
    </comment>
    <comment ref="F40" authorId="0" shapeId="0" xr:uid="{E0B81D3B-4084-4564-B2E6-BD08037D6C2A}">
      <text>
        <r>
          <rPr>
            <b/>
            <sz val="9"/>
            <color indexed="81"/>
            <rFont val="Tahoma"/>
            <family val="2"/>
          </rPr>
          <t>Ed King:</t>
        </r>
        <r>
          <rPr>
            <sz val="9"/>
            <color indexed="81"/>
            <rFont val="Tahoma"/>
            <family val="2"/>
          </rPr>
          <t xml:space="preserve">
Actual amount will vary based on participation.</t>
        </r>
      </text>
    </comment>
    <comment ref="F41" authorId="0" shapeId="0" xr:uid="{DCF55791-0E25-4CB5-B931-599D5D4228C3}">
      <text>
        <r>
          <rPr>
            <b/>
            <sz val="9"/>
            <color indexed="81"/>
            <rFont val="Tahoma"/>
            <family val="2"/>
          </rPr>
          <t>Ed King:</t>
        </r>
        <r>
          <rPr>
            <sz val="9"/>
            <color indexed="81"/>
            <rFont val="Tahoma"/>
            <family val="2"/>
          </rPr>
          <t xml:space="preserve">
This funding source may be available, but is competitive. Awards average around $3.5k.</t>
        </r>
      </text>
    </comment>
    <comment ref="F42" authorId="0" shapeId="0" xr:uid="{B073405D-C3C6-47AD-8B29-3A6A1205AD16}">
      <text>
        <r>
          <rPr>
            <b/>
            <sz val="9"/>
            <color indexed="81"/>
            <rFont val="Tahoma"/>
            <family val="2"/>
          </rPr>
          <t>Ed King:</t>
        </r>
        <r>
          <rPr>
            <sz val="9"/>
            <color indexed="81"/>
            <rFont val="Tahoma"/>
            <family val="2"/>
          </rPr>
          <t xml:space="preserve">
The new district is unlikely to qualify for this grant, given existing internet speeds. </t>
        </r>
      </text>
    </comment>
    <comment ref="F43" authorId="0" shapeId="0" xr:uid="{5FDB8A1B-7689-4437-918C-FC116686B705}">
      <text>
        <r>
          <rPr>
            <b/>
            <sz val="9"/>
            <color indexed="81"/>
            <rFont val="Tahoma"/>
            <family val="2"/>
          </rPr>
          <t>Ed King:</t>
        </r>
        <r>
          <rPr>
            <sz val="9"/>
            <color indexed="81"/>
            <rFont val="Tahoma"/>
            <family val="2"/>
          </rPr>
          <t xml:space="preserve">
It is unlikely that CSD will host a residential school, but would be eligible for reimbursement of costs if they did. </t>
        </r>
      </text>
    </comment>
  </commentList>
</comments>
</file>

<file path=xl/sharedStrings.xml><?xml version="1.0" encoding="utf-8"?>
<sst xmlns="http://schemas.openxmlformats.org/spreadsheetml/2006/main" count="218" uniqueCount="198">
  <si>
    <t>Indirect Cost (4% of funding less ops and maint)</t>
  </si>
  <si>
    <t>Line</t>
  </si>
  <si>
    <t>Additional Allowable Local Contributions</t>
  </si>
  <si>
    <t>Maximum Local Contribution (line #14 + line #22)</t>
  </si>
  <si>
    <t>School Size Adjustment</t>
  </si>
  <si>
    <t>Base Student Allocation (BSA)</t>
  </si>
  <si>
    <t>Total ADM (not including Correspondence)</t>
  </si>
  <si>
    <t>Total ADM (including Correspondence)</t>
  </si>
  <si>
    <t>Total District</t>
  </si>
  <si>
    <t>Foundation Formula Calculations [DEED]</t>
  </si>
  <si>
    <t>Total State Foundation Funding (line #20)</t>
  </si>
  <si>
    <t>District-Wide and Charter School Funding based on State Foundation Funding Formula</t>
  </si>
  <si>
    <t>GENERAL FUND</t>
  </si>
  <si>
    <t>Required Local Effort</t>
  </si>
  <si>
    <t>$/Actual ADM</t>
  </si>
  <si>
    <t>Summary of General Fund Sources</t>
  </si>
  <si>
    <t>Total General Fund Sources</t>
  </si>
  <si>
    <t>Net Funding (used to calculate I/C)</t>
  </si>
  <si>
    <t>Total Adjustments to Net Funding</t>
  </si>
  <si>
    <t>State funding formula (line #18 + line #19)</t>
  </si>
  <si>
    <t>Repayment of prior ASD funding</t>
  </si>
  <si>
    <t xml:space="preserve">Total Local Contribution </t>
  </si>
  <si>
    <t>Local Interest Earnings (projected)</t>
  </si>
  <si>
    <t>Other Changes to School Funding</t>
  </si>
  <si>
    <t>FY20 SS Adjusted ADM</t>
  </si>
  <si>
    <t>Percent Reduction</t>
  </si>
  <si>
    <t xml:space="preserve">Hold Harmless Funding </t>
  </si>
  <si>
    <t>5b</t>
  </si>
  <si>
    <t>5c</t>
  </si>
  <si>
    <t>5d</t>
  </si>
  <si>
    <t>State Education Raffle</t>
  </si>
  <si>
    <t>2022 full property value</t>
  </si>
  <si>
    <t xml:space="preserve">   23% of Basic Need</t>
  </si>
  <si>
    <t xml:space="preserve">   23% of State Increments Outside of BSA</t>
  </si>
  <si>
    <t xml:space="preserve">   23% of Quality Schools</t>
  </si>
  <si>
    <t>School Based Average Daily Membership (ADM)</t>
  </si>
  <si>
    <t>Projected Cost of FY24 Operations and Maintenance</t>
  </si>
  <si>
    <t>Alpenglow</t>
  </si>
  <si>
    <t>Aurora</t>
  </si>
  <si>
    <t>Birchwood</t>
  </si>
  <si>
    <t>Chugiak</t>
  </si>
  <si>
    <t>Homestead</t>
  </si>
  <si>
    <t>Eagle River</t>
  </si>
  <si>
    <t>Fire Lake</t>
  </si>
  <si>
    <t>Orion</t>
  </si>
  <si>
    <t>Ravenwood</t>
  </si>
  <si>
    <t>Ursa Minor</t>
  </si>
  <si>
    <t>Elementary Total</t>
  </si>
  <si>
    <t>Mirror Lake Middle School</t>
  </si>
  <si>
    <t>Gruening Middle School</t>
  </si>
  <si>
    <t>Total Middle Schools</t>
  </si>
  <si>
    <t>Eagle Academy</t>
  </si>
  <si>
    <t>Frontier Charter</t>
  </si>
  <si>
    <t>Total Charter Schools</t>
  </si>
  <si>
    <t>Chugiak High School</t>
  </si>
  <si>
    <t>Eagle River High School</t>
  </si>
  <si>
    <t>Total High Schools</t>
  </si>
  <si>
    <t>Chugach Regional Borough School District</t>
  </si>
  <si>
    <t>Hypothetical Revenue Projection</t>
  </si>
  <si>
    <t xml:space="preserve">Projected FY24 Funding </t>
  </si>
  <si>
    <t>Inputs</t>
  </si>
  <si>
    <t>Title Funds</t>
  </si>
  <si>
    <t>Property Value</t>
  </si>
  <si>
    <t>Title 1-A (Improving Education for the Disadvantaged &amp; Struggling Students)</t>
  </si>
  <si>
    <t>School Name</t>
  </si>
  <si>
    <t>School ADM (FY24)</t>
  </si>
  <si>
    <t>SS Adjusted ADM</t>
  </si>
  <si>
    <t>Base Student Allocation</t>
  </si>
  <si>
    <t>Title 1-C (Migrant Students Educational Support)</t>
  </si>
  <si>
    <t>Alpenglow Elementary</t>
  </si>
  <si>
    <t>Distric Cost Factor</t>
  </si>
  <si>
    <t>Title 1 (Improving Education for the Disadvantaged &amp; Struggling Students (Competitive))</t>
  </si>
  <si>
    <t>Aurora Elementary</t>
  </si>
  <si>
    <t>SPED Factor</t>
  </si>
  <si>
    <t>Title 1-D (Neglected or Delinquent Educational Support)</t>
  </si>
  <si>
    <t>CTE Factor</t>
  </si>
  <si>
    <t>Title II-A (Teacher and Principal Quality and Support)</t>
  </si>
  <si>
    <t>Chugiak Elementary</t>
  </si>
  <si>
    <t>Correspondence Factor</t>
  </si>
  <si>
    <t>Title III (English Language Learners Support)</t>
  </si>
  <si>
    <t>Eagle River Elementary</t>
  </si>
  <si>
    <t>Correspondence Students</t>
  </si>
  <si>
    <t>Title IV (Student Support and Academic Enrichment Grants)</t>
  </si>
  <si>
    <t>Fire Lake Elementary</t>
  </si>
  <si>
    <t>Intensive Needs Students</t>
  </si>
  <si>
    <t>Title IV-B (21st Century Community Learning Centers)</t>
  </si>
  <si>
    <t>Homestead Elementary</t>
  </si>
  <si>
    <t>Intensive Needs Factor</t>
  </si>
  <si>
    <t>Title VI-B (Individual with Disabilities Education)</t>
  </si>
  <si>
    <t>Orion Elementary School</t>
  </si>
  <si>
    <t>Pupil Transportation Factor</t>
  </si>
  <si>
    <t>Title VII (7003 Impact Aid)</t>
  </si>
  <si>
    <t>Ravenwood Elementary</t>
  </si>
  <si>
    <t>Eligible Aid Share</t>
  </si>
  <si>
    <t>Total Title Funds</t>
  </si>
  <si>
    <t>Ursa Minor Elementary</t>
  </si>
  <si>
    <t>Eagle Academy Charter School</t>
  </si>
  <si>
    <t>Outputs</t>
  </si>
  <si>
    <t>Federal Grants</t>
  </si>
  <si>
    <t>Total Federal</t>
  </si>
  <si>
    <t>School Improvement 1003a</t>
  </si>
  <si>
    <t>Total State</t>
  </si>
  <si>
    <t>Career and Technical Education (CTE)</t>
  </si>
  <si>
    <t>Total Local</t>
  </si>
  <si>
    <t>McKinny Vento Education for Homeless Children and Youth</t>
  </si>
  <si>
    <t>Total Funding</t>
  </si>
  <si>
    <t>Migrant Literacy</t>
  </si>
  <si>
    <t xml:space="preserve">Disabled 619 (Individual with Disabilities Education PRESCHOOL) </t>
  </si>
  <si>
    <t>All Schools Enrollment</t>
  </si>
  <si>
    <t>SPED Discretionary (Individual with Disabilities Education)</t>
  </si>
  <si>
    <t>Literacy Development</t>
  </si>
  <si>
    <t>State Aid Calculation</t>
  </si>
  <si>
    <t>HOMELESS</t>
  </si>
  <si>
    <t>Base AADM Funding</t>
  </si>
  <si>
    <t>Trauma Recovery</t>
  </si>
  <si>
    <t>Correspondence Funding</t>
  </si>
  <si>
    <t>Substance Abuse and Mental Health</t>
  </si>
  <si>
    <t>Intensive Needs Funding</t>
  </si>
  <si>
    <t>Child Nutrition Programs</t>
  </si>
  <si>
    <t>Basic Need</t>
  </si>
  <si>
    <t>Institute of Museum and Library Services</t>
  </si>
  <si>
    <t>Required Local Contribution</t>
  </si>
  <si>
    <t>Other Direct Federal Grants</t>
  </si>
  <si>
    <t>Impact Aid Reduction</t>
  </si>
  <si>
    <t>E-rate</t>
  </si>
  <si>
    <t>State Aid</t>
  </si>
  <si>
    <t>Total Other Federal Funds</t>
  </si>
  <si>
    <t>7003 Funding Estimate</t>
  </si>
  <si>
    <t>State Grants</t>
  </si>
  <si>
    <t xml:space="preserve">Military students living and attending school on JBER </t>
  </si>
  <si>
    <t>Foundation Formula Grant</t>
  </si>
  <si>
    <t>Military students not living on base</t>
  </si>
  <si>
    <t>Quality Schools Grant</t>
  </si>
  <si>
    <t>Students living in Federal low-rent housing</t>
  </si>
  <si>
    <t>Pupil Transportation Grant</t>
  </si>
  <si>
    <t>Students living on ANCSA land</t>
  </si>
  <si>
    <t>Early Learning Grants</t>
  </si>
  <si>
    <t>Total Weighted ADA</t>
  </si>
  <si>
    <t>Youth in Detention</t>
  </si>
  <si>
    <t>FY21 State average per-pupil expenditure</t>
  </si>
  <si>
    <t>Alternative Schools</t>
  </si>
  <si>
    <t>Full Funding Under 7003</t>
  </si>
  <si>
    <t>Suicide Prevention</t>
  </si>
  <si>
    <t>District Total Current Expenditures</t>
  </si>
  <si>
    <t>Dividend Raffle</t>
  </si>
  <si>
    <t>Full Funding Percent of TCE</t>
  </si>
  <si>
    <t>State Council of the Arts</t>
  </si>
  <si>
    <t>Federal ADA Percentage</t>
  </si>
  <si>
    <t>Broadband Access</t>
  </si>
  <si>
    <t>Learning Opportunity Threshold</t>
  </si>
  <si>
    <t>Residential School</t>
  </si>
  <si>
    <t>Distributed Impacted add at 100% LOT</t>
  </si>
  <si>
    <t>Local Contributions</t>
  </si>
  <si>
    <t>Voluntary Local Contribution</t>
  </si>
  <si>
    <t>In-Kind Services</t>
  </si>
  <si>
    <t>Total Local Contributions</t>
  </si>
  <si>
    <t>Total All Sources</t>
  </si>
  <si>
    <t>District Overhead</t>
  </si>
  <si>
    <t>Total State Grants</t>
  </si>
  <si>
    <t>Pupil Transportation</t>
  </si>
  <si>
    <t>Federal Funding from Title programs</t>
  </si>
  <si>
    <t>Total Other Funds</t>
  </si>
  <si>
    <t>Correspondence Costs</t>
  </si>
  <si>
    <t>Total Net GF Funding</t>
  </si>
  <si>
    <r>
      <t xml:space="preserve">State Funding Outside BSA </t>
    </r>
    <r>
      <rPr>
        <vertAlign val="superscript"/>
        <sz val="10"/>
        <rFont val="Book Antiqua"/>
        <family val="1"/>
      </rPr>
      <t>1</t>
    </r>
  </si>
  <si>
    <r>
      <t xml:space="preserve">Total Federal Impact Aid (projected) </t>
    </r>
    <r>
      <rPr>
        <vertAlign val="superscript"/>
        <sz val="10"/>
        <rFont val="Book Antiqua"/>
        <family val="1"/>
      </rPr>
      <t>2</t>
    </r>
  </si>
  <si>
    <r>
      <rPr>
        <vertAlign val="superscript"/>
        <sz val="10"/>
        <rFont val="Arial"/>
        <family val="2"/>
      </rPr>
      <t xml:space="preserve">1 </t>
    </r>
    <r>
      <rPr>
        <sz val="10"/>
        <rFont val="Arial"/>
        <family val="2"/>
      </rPr>
      <t>Assuming the legislature passes the $175 million outside formula funding currently in the budget</t>
    </r>
  </si>
  <si>
    <r>
      <t xml:space="preserve">Correspondence ADM </t>
    </r>
    <r>
      <rPr>
        <vertAlign val="superscript"/>
        <sz val="10"/>
        <rFont val="Book Antiqua"/>
        <family val="1"/>
      </rPr>
      <t>3</t>
    </r>
  </si>
  <si>
    <r>
      <rPr>
        <vertAlign val="superscript"/>
        <sz val="10"/>
        <rFont val="Arial"/>
        <family val="2"/>
      </rPr>
      <t xml:space="preserve"> 3</t>
    </r>
    <r>
      <rPr>
        <sz val="10"/>
        <rFont val="Arial"/>
        <family val="2"/>
      </rPr>
      <t xml:space="preserve"> Assumes participation in district correspondence program matches the participation rate in ASD</t>
    </r>
  </si>
  <si>
    <r>
      <t xml:space="preserve">District Cost Factor Adjustment </t>
    </r>
    <r>
      <rPr>
        <vertAlign val="superscript"/>
        <sz val="10"/>
        <rFont val="Book Antiqua"/>
        <family val="1"/>
      </rPr>
      <t>4</t>
    </r>
  </si>
  <si>
    <r>
      <rPr>
        <vertAlign val="superscript"/>
        <sz val="10"/>
        <rFont val="Arial"/>
        <family val="2"/>
      </rPr>
      <t xml:space="preserve">4 </t>
    </r>
    <r>
      <rPr>
        <sz val="10"/>
        <rFont val="Arial"/>
        <family val="2"/>
      </rPr>
      <t xml:space="preserve">The CRBSD will need a district cost factor assigned in legislation. The calculation here uses the Mat-Su District Cost Factor as a proxy. </t>
    </r>
  </si>
  <si>
    <r>
      <t xml:space="preserve">SPED Intensive </t>
    </r>
    <r>
      <rPr>
        <vertAlign val="superscript"/>
        <sz val="10"/>
        <rFont val="Book Antiqua"/>
        <family val="1"/>
      </rPr>
      <t>5</t>
    </r>
  </si>
  <si>
    <r>
      <rPr>
        <vertAlign val="superscript"/>
        <sz val="10"/>
        <rFont val="Arial"/>
        <family val="2"/>
      </rPr>
      <t>5</t>
    </r>
    <r>
      <rPr>
        <sz val="10"/>
        <rFont val="Arial"/>
        <family val="2"/>
      </rPr>
      <t xml:space="preserve"> Assumes that the proportion of Intensive Needs students in CRB are consistent with the broader ASD.</t>
    </r>
  </si>
  <si>
    <t>Intensive Adjustment (line #26 X 13)</t>
  </si>
  <si>
    <t>Special Needs Factor (line #24 X 1.2)</t>
  </si>
  <si>
    <t>CTE Factor (line #25 X 1.015; Secondary)</t>
  </si>
  <si>
    <t>Total AADM + SPED (line #26 + Line #28)</t>
  </si>
  <si>
    <t>Correspondence ADM - 90% (line #17 X 0.9)</t>
  </si>
  <si>
    <t>District adjusted ADM (line #29 + Line #30)</t>
  </si>
  <si>
    <t>Basic need (line #15 X line #31)</t>
  </si>
  <si>
    <t>Total Federal Impact Aid</t>
  </si>
  <si>
    <r>
      <t xml:space="preserve">Required local effort 2.65 mils (line # 34 X .00265) </t>
    </r>
    <r>
      <rPr>
        <vertAlign val="superscript"/>
        <sz val="10"/>
        <rFont val="Book Antiqua"/>
        <family val="1"/>
      </rPr>
      <t>6</t>
    </r>
  </si>
  <si>
    <r>
      <rPr>
        <vertAlign val="superscript"/>
        <sz val="10"/>
        <rFont val="Arial"/>
        <family val="2"/>
      </rPr>
      <t>6</t>
    </r>
    <r>
      <rPr>
        <sz val="10"/>
        <rFont val="Arial"/>
        <family val="2"/>
      </rPr>
      <t xml:space="preserve"> AS 14.17.410(e) allows for a reduced local contribution during the first three years of operating a new district. That law was not applied in this calculation.  </t>
    </r>
  </si>
  <si>
    <t xml:space="preserve">Total Local Revenue </t>
  </si>
  <si>
    <t xml:space="preserve">90% Deductible FIA </t>
  </si>
  <si>
    <r>
      <t xml:space="preserve">Impact Aid % </t>
    </r>
    <r>
      <rPr>
        <vertAlign val="superscript"/>
        <sz val="10"/>
        <rFont val="Book Antiqua"/>
        <family val="1"/>
      </rPr>
      <t>7</t>
    </r>
  </si>
  <si>
    <r>
      <rPr>
        <vertAlign val="superscript"/>
        <sz val="10"/>
        <rFont val="Arial"/>
        <family val="2"/>
      </rPr>
      <t>7</t>
    </r>
    <r>
      <rPr>
        <sz val="10"/>
        <rFont val="Arial"/>
        <family val="2"/>
      </rPr>
      <t xml:space="preserve"> The relatively low local contribution rate results in a greater reduction in state support due to impact aid.</t>
    </r>
  </si>
  <si>
    <t>Total State Aid (line #32 - lines #33 and #38)</t>
  </si>
  <si>
    <t xml:space="preserve">Quality Schools - $16/adj. ADM </t>
  </si>
  <si>
    <r>
      <t xml:space="preserve">Voluntary Local Contribution </t>
    </r>
    <r>
      <rPr>
        <vertAlign val="superscript"/>
        <sz val="10"/>
        <rFont val="Book Antiqua"/>
        <family val="1"/>
      </rPr>
      <t>8</t>
    </r>
  </si>
  <si>
    <r>
      <rPr>
        <vertAlign val="superscript"/>
        <sz val="10"/>
        <rFont val="Arial"/>
        <family val="2"/>
      </rPr>
      <t>8</t>
    </r>
    <r>
      <rPr>
        <sz val="10"/>
        <rFont val="Arial"/>
        <family val="2"/>
      </rPr>
      <t xml:space="preserve"> Required and voluntary local contributions can come from any locally derived source, including in-kind contributions, per AS 14.17.990(6)</t>
    </r>
  </si>
  <si>
    <r>
      <rPr>
        <vertAlign val="superscript"/>
        <sz val="10"/>
        <rFont val="Arial"/>
        <family val="2"/>
      </rPr>
      <t>2</t>
    </r>
    <r>
      <rPr>
        <sz val="10"/>
        <rFont val="Arial"/>
        <family val="2"/>
      </rPr>
      <t xml:space="preserve"> Based on 7003 only. Population based on military members and dependent reported at JBER and allocated to the CRBSD using general statistics. Additional funding may be available. </t>
    </r>
  </si>
  <si>
    <r>
      <t xml:space="preserve">Non-GF Revenue Sources </t>
    </r>
    <r>
      <rPr>
        <b/>
        <vertAlign val="superscript"/>
        <sz val="10"/>
        <rFont val="Book Antiqua"/>
        <family val="1"/>
      </rPr>
      <t>9</t>
    </r>
  </si>
  <si>
    <r>
      <rPr>
        <vertAlign val="superscript"/>
        <sz val="10"/>
        <rFont val="Arial"/>
        <family val="2"/>
      </rPr>
      <t>9</t>
    </r>
    <r>
      <rPr>
        <sz val="10"/>
        <rFont val="Arial"/>
        <family val="2"/>
      </rPr>
      <t xml:space="preserve"> These potential funding sources generally require applications from the district. The values are estimated awards if the application is submitted. The use of these funds may be restricted for specific purposes. </t>
    </r>
  </si>
  <si>
    <r>
      <rPr>
        <vertAlign val="superscript"/>
        <sz val="10"/>
        <rFont val="Arial"/>
        <family val="2"/>
      </rPr>
      <t>10</t>
    </r>
    <r>
      <rPr>
        <sz val="10"/>
        <rFont val="Arial"/>
        <family val="2"/>
      </rPr>
      <t xml:space="preserve"> These values have not been validated with any degree of confidence. Further work is required. </t>
    </r>
  </si>
  <si>
    <t>Birchwood Elementary</t>
  </si>
  <si>
    <t>FY25 Budget (by organization, pages 51-54)</t>
  </si>
  <si>
    <r>
      <t xml:space="preserve">CRB Hypothetical School District Budget (GF Only) </t>
    </r>
    <r>
      <rPr>
        <b/>
        <vertAlign val="superscript"/>
        <sz val="10"/>
        <rFont val="Book Antiqua"/>
        <family val="1"/>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</si>
</sst>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 #,##0_);_(* \(#,##0\);_(* &quot;-&quot;??_);_(@_)"/>
    <numFmt numFmtId="165" formatCode="_(* #,##0.000_);_(* \(#,##0.000\);_(* &quot;-&quot;??_);_(@_)"/>
    <numFmt numFmtId="166" formatCode="_(* #,##0.00000_);_(* \(#,##0.00000\);_(* &quot;-&quot;??_);_(@_)"/>
    <numFmt numFmtId="167" formatCode="_(&quot;$&quot;* #,##0_);_(&quot;$&quot;* \(#,##0\);_(&quot;$&quot;* &quot;-&quot;??_);_(@_)"/>
  </numFmts>
  <fonts count="5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Book Antiqua"/>
      <family val="1"/>
    </font>
    <font>
      <sz val="10"/>
      <name val="Book Antiqua"/>
      <family val="1"/>
    </font>
    <font>
      <i/>
      <sz val="10"/>
      <name val="Book Antiqua"/>
      <family val="1"/>
    </font>
    <font>
      <b/>
      <sz val="9"/>
      <color indexed="81"/>
      <name val="Tahoma"/>
      <family val="2"/>
    </font>
    <font>
      <sz val="9"/>
      <color indexed="81"/>
      <name val="Tahoma"/>
      <family val="2"/>
    </font>
    <font>
      <sz val="11"/>
      <color theme="1"/>
      <name val="Calibri"/>
      <family val="2"/>
      <scheme val="minor"/>
    </font>
    <font>
      <sz val="10"/>
      <color rgb="FF000000"/>
      <name val="Times New Roman"/>
      <family val="1"/>
    </font>
    <font>
      <b/>
      <i/>
      <sz val="10"/>
      <name val="Arial"/>
      <family val="2"/>
    </font>
    <font>
      <sz val="10"/>
      <name val="Geneva"/>
    </font>
    <font>
      <sz val="11"/>
      <color rgb="FF000000"/>
      <name val="Calibri"/>
      <family val="2"/>
    </font>
    <font>
      <sz val="12"/>
      <color theme="1"/>
      <name val="Arial"/>
      <family val="2"/>
    </font>
    <font>
      <sz val="12"/>
      <name val="Tms Rmn"/>
    </font>
    <font>
      <sz val="8"/>
      <name val="Book Antiqua"/>
      <family val="1"/>
    </font>
    <font>
      <b/>
      <sz val="11"/>
      <name val="Book Antiqua"/>
      <family val="1"/>
    </font>
    <font>
      <b/>
      <sz val="8"/>
      <name val="Book Antiqua"/>
      <family val="1"/>
    </font>
    <font>
      <b/>
      <sz val="10"/>
      <name val="Arial"/>
      <family val="2"/>
    </font>
    <font>
      <sz val="10"/>
      <name val="Arial"/>
      <family val="2"/>
    </font>
    <font>
      <b/>
      <sz val="12"/>
      <name val="Times"/>
      <family val="1"/>
    </font>
    <font>
      <sz val="9"/>
      <color theme="0" tint="-0.34998626667073579"/>
      <name val="Book Antiqua"/>
      <family val="1"/>
    </font>
    <font>
      <sz val="10"/>
      <name val="Arial"/>
      <family val="2"/>
    </font>
    <font>
      <b/>
      <sz val="11"/>
      <color theme="0"/>
      <name val="Book Antiqua"/>
      <family val="1"/>
    </font>
    <font>
      <sz val="9"/>
      <name val="Arial"/>
      <family val="2"/>
    </font>
    <font>
      <b/>
      <sz val="9"/>
      <name val="Book Antiqua"/>
      <family val="1"/>
    </font>
    <font>
      <b/>
      <sz val="9"/>
      <color theme="0"/>
      <name val="Book Antiqua"/>
      <family val="1"/>
    </font>
    <font>
      <sz val="9"/>
      <name val="Book Antiqua"/>
      <family val="1"/>
    </font>
    <font>
      <u val="singleAccounting"/>
      <sz val="9"/>
      <name val="Book Antiqua"/>
      <family val="1"/>
    </font>
    <font>
      <i/>
      <sz val="9"/>
      <name val="Book Antiqua"/>
      <family val="1"/>
    </font>
    <font>
      <b/>
      <sz val="11"/>
      <color theme="1"/>
      <name val="Calibri"/>
      <family val="2"/>
      <scheme val="minor"/>
    </font>
    <font>
      <b/>
      <i/>
      <sz val="11"/>
      <color theme="1"/>
      <name val="Calibri"/>
      <family val="2"/>
      <scheme val="minor"/>
    </font>
    <font>
      <i/>
      <sz val="11"/>
      <name val="Book Antiqua"/>
      <family val="1"/>
    </font>
    <font>
      <sz val="14"/>
      <name val="Arial"/>
      <family val="2"/>
    </font>
    <font>
      <b/>
      <sz val="14"/>
      <name val="Book Antiqua"/>
      <family val="1"/>
    </font>
    <font>
      <b/>
      <sz val="14"/>
      <color theme="0"/>
      <name val="Book Antiqua"/>
      <family val="1"/>
    </font>
    <font>
      <sz val="14"/>
      <name val="Book Antiqua"/>
      <family val="1"/>
    </font>
    <font>
      <u val="singleAccounting"/>
      <sz val="14"/>
      <name val="Book Antiqua"/>
      <family val="1"/>
    </font>
    <font>
      <sz val="14"/>
      <color theme="0" tint="-0.34998626667073579"/>
      <name val="Book Antiqua"/>
      <family val="1"/>
    </font>
    <font>
      <i/>
      <sz val="14"/>
      <name val="Book Antiqua"/>
      <family val="1"/>
    </font>
    <font>
      <i/>
      <sz val="11"/>
      <name val="Arial"/>
      <family val="2"/>
    </font>
    <font>
      <b/>
      <i/>
      <sz val="11"/>
      <color theme="0"/>
      <name val="Book Antiqua"/>
      <family val="1"/>
    </font>
    <font>
      <i/>
      <u val="singleAccounting"/>
      <sz val="11"/>
      <name val="Book Antiqua"/>
      <family val="1"/>
    </font>
    <font>
      <b/>
      <i/>
      <sz val="11"/>
      <name val="Book Antiqua"/>
      <family val="1"/>
    </font>
    <font>
      <i/>
      <sz val="11"/>
      <color theme="0" tint="-0.34998626667073579"/>
      <name val="Book Antiqua"/>
      <family val="1"/>
    </font>
    <font>
      <vertAlign val="superscript"/>
      <sz val="10"/>
      <name val="Book Antiqua"/>
      <family val="1"/>
    </font>
    <font>
      <vertAlign val="superscript"/>
      <sz val="10"/>
      <name val="Arial"/>
      <family val="2"/>
    </font>
    <font>
      <b/>
      <vertAlign val="superscript"/>
      <sz val="10"/>
      <name val="Book Antiqua"/>
      <family val="1"/>
    </font>
  </fonts>
  <fills count="2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CC"/>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92D05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6" tint="-0.249977111117893"/>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right/>
      <top/>
      <bottom style="thin">
        <color indexed="64"/>
      </bottom>
      <diagonal/>
    </border>
  </borders>
  <cellStyleXfs count="5887">
    <xf numFmtId="0" fontId="0" fillId="0" borderId="0"/>
    <xf numFmtId="43" fontId="5" fillId="0" borderId="0" applyFont="0" applyFill="0" applyBorder="0" applyAlignment="0" applyProtection="0"/>
    <xf numFmtId="9"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0"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6" borderId="0" applyNumberFormat="0" applyBorder="0" applyAlignment="0" applyProtection="0"/>
    <xf numFmtId="0" fontId="5" fillId="0" borderId="0" applyNumberFormat="0" applyFont="0" applyFill="0" applyBorder="0" applyAlignment="0" applyProtection="0"/>
    <xf numFmtId="0" fontId="11" fillId="4" borderId="2" applyNumberFormat="0" applyFont="0" applyAlignment="0" applyProtection="0"/>
    <xf numFmtId="0" fontId="11" fillId="4" borderId="2" applyNumberFormat="0" applyFont="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0" fontId="5" fillId="0" borderId="0"/>
    <xf numFmtId="0" fontId="11" fillId="0" borderId="0"/>
    <xf numFmtId="0" fontId="11" fillId="0" borderId="0"/>
    <xf numFmtId="0" fontId="22"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5" fillId="0" borderId="0"/>
    <xf numFmtId="0" fontId="4" fillId="0" borderId="0"/>
    <xf numFmtId="43" fontId="4" fillId="0" borderId="0" applyFont="0" applyFill="0" applyBorder="0" applyAlignment="0" applyProtection="0"/>
    <xf numFmtId="43" fontId="5"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14" fillId="0" borderId="0"/>
    <xf numFmtId="9" fontId="14"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4" fontId="5"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16"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7"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 borderId="2" applyNumberFormat="0" applyFont="0" applyAlignment="0" applyProtection="0"/>
    <xf numFmtId="0" fontId="3" fillId="4" borderId="2" applyNumberFormat="0" applyFont="0" applyAlignment="0" applyProtection="0"/>
    <xf numFmtId="0" fontId="3" fillId="4" borderId="2"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3" fillId="0" borderId="0" applyFont="0" applyFill="0" applyBorder="0" applyAlignment="0" applyProtection="0"/>
    <xf numFmtId="0" fontId="25" fillId="0" borderId="0"/>
    <xf numFmtId="43" fontId="5"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5" fillId="0" borderId="0"/>
    <xf numFmtId="43" fontId="5" fillId="0" borderId="0" applyFont="0" applyFill="0" applyBorder="0" applyAlignment="0" applyProtection="0"/>
    <xf numFmtId="43"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0" fontId="3" fillId="0" borderId="0"/>
    <xf numFmtId="0" fontId="5" fillId="0" borderId="0"/>
    <xf numFmtId="0" fontId="3" fillId="0" borderId="0"/>
    <xf numFmtId="44" fontId="5"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05">
    <xf numFmtId="0" fontId="0" fillId="0" borderId="0" xfId="0"/>
    <xf numFmtId="0" fontId="7" fillId="0" borderId="0" xfId="0" applyFont="1" applyAlignment="1">
      <alignment vertical="center"/>
    </xf>
    <xf numFmtId="0" fontId="19" fillId="0" borderId="0" xfId="0" applyFont="1"/>
    <xf numFmtId="0" fontId="18" fillId="0" borderId="0" xfId="0" applyFont="1" applyAlignment="1">
      <alignment horizontal="center" vertical="center" wrapText="1"/>
    </xf>
    <xf numFmtId="0" fontId="18" fillId="0" borderId="0" xfId="0" applyFont="1" applyAlignment="1">
      <alignment horizontal="center" wrapText="1"/>
    </xf>
    <xf numFmtId="0" fontId="6" fillId="0" borderId="0" xfId="0" applyFont="1" applyAlignment="1">
      <alignment wrapText="1"/>
    </xf>
    <xf numFmtId="0" fontId="7" fillId="0" borderId="0" xfId="0" applyFont="1" applyAlignment="1">
      <alignment horizontal="center" wrapText="1"/>
    </xf>
    <xf numFmtId="0" fontId="8" fillId="0" borderId="0" xfId="0" applyFont="1" applyAlignment="1">
      <alignment wrapText="1"/>
    </xf>
    <xf numFmtId="0" fontId="6" fillId="0" borderId="0" xfId="0" applyFont="1"/>
    <xf numFmtId="0" fontId="6" fillId="0" borderId="0" xfId="0" applyFont="1" applyAlignment="1">
      <alignment vertical="center" wrapText="1"/>
    </xf>
    <xf numFmtId="0" fontId="20" fillId="0" borderId="0" xfId="0" applyFont="1" applyAlignment="1">
      <alignment horizontal="center" vertical="center" wrapText="1"/>
    </xf>
    <xf numFmtId="0" fontId="21" fillId="0" borderId="0" xfId="0" applyFont="1"/>
    <xf numFmtId="14" fontId="6" fillId="0" borderId="0" xfId="0" applyNumberFormat="1" applyFont="1"/>
    <xf numFmtId="0" fontId="7" fillId="0" borderId="0" xfId="0" applyFont="1" applyAlignment="1">
      <alignment wrapText="1"/>
    </xf>
    <xf numFmtId="0" fontId="7" fillId="0" borderId="0" xfId="0" applyFont="1" applyAlignment="1">
      <alignment vertical="center" wrapText="1"/>
    </xf>
    <xf numFmtId="165" fontId="24" fillId="0" borderId="0" xfId="292" applyNumberFormat="1" applyFont="1" applyFill="1"/>
    <xf numFmtId="0" fontId="7" fillId="2" borderId="0" xfId="0" applyFont="1" applyFill="1" applyAlignment="1">
      <alignment wrapText="1"/>
    </xf>
    <xf numFmtId="0" fontId="7" fillId="17" borderId="0" xfId="0" applyFont="1" applyFill="1" applyAlignment="1">
      <alignment wrapText="1"/>
    </xf>
    <xf numFmtId="0" fontId="6" fillId="18" borderId="0" xfId="0" applyFont="1" applyFill="1" applyAlignment="1">
      <alignment vertical="center" wrapText="1"/>
    </xf>
    <xf numFmtId="0" fontId="6" fillId="18" borderId="0" xfId="0" applyFont="1" applyFill="1" applyAlignment="1">
      <alignment wrapText="1"/>
    </xf>
    <xf numFmtId="0" fontId="7" fillId="18" borderId="0" xfId="0" applyFont="1" applyFill="1" applyAlignment="1">
      <alignment wrapText="1"/>
    </xf>
    <xf numFmtId="0" fontId="26" fillId="19" borderId="1" xfId="0" applyFont="1" applyFill="1" applyBorder="1"/>
    <xf numFmtId="0" fontId="27" fillId="0" borderId="0" xfId="0" applyFont="1"/>
    <xf numFmtId="164" fontId="27" fillId="0" borderId="0" xfId="1" applyNumberFormat="1" applyFont="1"/>
    <xf numFmtId="0" fontId="29" fillId="19" borderId="1" xfId="0" applyFont="1" applyFill="1" applyBorder="1" applyAlignment="1">
      <alignment horizontal="center" wrapText="1"/>
    </xf>
    <xf numFmtId="164" fontId="30" fillId="0" borderId="0" xfId="1" applyNumberFormat="1" applyFont="1" applyBorder="1" applyAlignment="1">
      <alignment vertical="center"/>
    </xf>
    <xf numFmtId="41" fontId="30" fillId="0" borderId="0" xfId="0" applyNumberFormat="1" applyFont="1" applyAlignment="1">
      <alignment vertical="center"/>
    </xf>
    <xf numFmtId="164" fontId="30" fillId="0" borderId="0" xfId="1" applyNumberFormat="1" applyFont="1" applyFill="1" applyBorder="1"/>
    <xf numFmtId="164" fontId="30" fillId="0" borderId="0" xfId="0" applyNumberFormat="1" applyFont="1"/>
    <xf numFmtId="41" fontId="31" fillId="0" borderId="0" xfId="0" applyNumberFormat="1" applyFont="1" applyAlignment="1">
      <alignment vertical="center"/>
    </xf>
    <xf numFmtId="164" fontId="28" fillId="0" borderId="0" xfId="1" applyNumberFormat="1" applyFont="1" applyBorder="1"/>
    <xf numFmtId="164" fontId="28" fillId="0" borderId="0" xfId="0" applyNumberFormat="1" applyFont="1"/>
    <xf numFmtId="164" fontId="28" fillId="0" borderId="0" xfId="0" applyNumberFormat="1" applyFont="1" applyAlignment="1">
      <alignment vertical="center"/>
    </xf>
    <xf numFmtId="164" fontId="31" fillId="0" borderId="0" xfId="0" applyNumberFormat="1" applyFont="1"/>
    <xf numFmtId="164" fontId="31" fillId="0" borderId="0" xfId="0" applyNumberFormat="1" applyFont="1" applyAlignment="1">
      <alignment vertical="center"/>
    </xf>
    <xf numFmtId="164" fontId="28" fillId="18" borderId="4" xfId="0" applyNumberFormat="1" applyFont="1" applyFill="1" applyBorder="1"/>
    <xf numFmtId="164" fontId="30" fillId="17" borderId="0" xfId="1" applyNumberFormat="1" applyFont="1" applyFill="1" applyBorder="1"/>
    <xf numFmtId="43" fontId="30" fillId="17" borderId="0" xfId="1" applyFont="1" applyFill="1" applyBorder="1"/>
    <xf numFmtId="43" fontId="30" fillId="0" borderId="0" xfId="1" applyFont="1" applyFill="1" applyBorder="1"/>
    <xf numFmtId="43" fontId="30" fillId="3" borderId="0" xfId="1" applyFont="1" applyFill="1" applyBorder="1"/>
    <xf numFmtId="43" fontId="30" fillId="0" borderId="0" xfId="1" applyFont="1" applyFill="1" applyBorder="1" applyAlignment="1">
      <alignment horizontal="right"/>
    </xf>
    <xf numFmtId="43" fontId="30" fillId="2" borderId="0" xfId="1" applyFont="1" applyFill="1" applyBorder="1" applyAlignment="1">
      <alignment horizontal="right"/>
    </xf>
    <xf numFmtId="10" fontId="30" fillId="2" borderId="0" xfId="2" applyNumberFormat="1" applyFont="1" applyFill="1" applyBorder="1" applyAlignment="1">
      <alignment horizontal="right"/>
    </xf>
    <xf numFmtId="43" fontId="28" fillId="0" borderId="3" xfId="1" applyFont="1" applyFill="1" applyBorder="1"/>
    <xf numFmtId="44" fontId="30" fillId="0" borderId="0" xfId="5882" applyFont="1" applyFill="1" applyBorder="1"/>
    <xf numFmtId="44" fontId="30" fillId="18" borderId="0" xfId="5882" applyFont="1" applyFill="1" applyBorder="1"/>
    <xf numFmtId="44" fontId="32" fillId="0" borderId="0" xfId="5882" applyFont="1" applyFill="1" applyBorder="1"/>
    <xf numFmtId="44" fontId="30" fillId="0" borderId="0" xfId="5882" applyFont="1" applyFill="1" applyBorder="1" applyAlignment="1">
      <alignment horizontal="right"/>
    </xf>
    <xf numFmtId="44" fontId="28" fillId="18" borderId="0" xfId="5882" applyFont="1" applyFill="1" applyBorder="1"/>
    <xf numFmtId="44" fontId="30" fillId="0" borderId="0" xfId="5882" applyFont="1" applyFill="1"/>
    <xf numFmtId="44" fontId="30" fillId="0" borderId="0" xfId="5882" applyFont="1"/>
    <xf numFmtId="0" fontId="26" fillId="19" borderId="5" xfId="0" applyFont="1" applyFill="1" applyBorder="1" applyAlignment="1">
      <alignment horizontal="center"/>
    </xf>
    <xf numFmtId="0" fontId="29" fillId="19" borderId="6" xfId="0" applyFont="1" applyFill="1" applyBorder="1" applyAlignment="1">
      <alignment horizontal="center" wrapText="1"/>
    </xf>
    <xf numFmtId="164" fontId="30" fillId="0" borderId="7" xfId="1" applyNumberFormat="1" applyFont="1" applyFill="1" applyBorder="1"/>
    <xf numFmtId="164" fontId="28" fillId="0" borderId="7" xfId="1" applyNumberFormat="1" applyFont="1" applyBorder="1"/>
    <xf numFmtId="164" fontId="28" fillId="0" borderId="7" xfId="0" applyNumberFormat="1" applyFont="1" applyBorder="1"/>
    <xf numFmtId="164" fontId="31" fillId="0" borderId="7" xfId="0" applyNumberFormat="1" applyFont="1" applyBorder="1"/>
    <xf numFmtId="164" fontId="31" fillId="0" borderId="7" xfId="0" applyNumberFormat="1" applyFont="1" applyBorder="1" applyAlignment="1">
      <alignment vertical="center"/>
    </xf>
    <xf numFmtId="164" fontId="30" fillId="17" borderId="7" xfId="1" applyNumberFormat="1" applyFont="1" applyFill="1" applyBorder="1"/>
    <xf numFmtId="43" fontId="30" fillId="17" borderId="7" xfId="1" applyFont="1" applyFill="1" applyBorder="1"/>
    <xf numFmtId="43" fontId="30" fillId="0" borderId="7" xfId="1" applyFont="1" applyFill="1" applyBorder="1"/>
    <xf numFmtId="43" fontId="30" fillId="3" borderId="7" xfId="1" applyFont="1" applyFill="1" applyBorder="1"/>
    <xf numFmtId="43" fontId="30" fillId="0" borderId="7" xfId="1" applyFont="1" applyFill="1" applyBorder="1" applyAlignment="1">
      <alignment horizontal="right"/>
    </xf>
    <xf numFmtId="43" fontId="30" fillId="2" borderId="7" xfId="1" applyFont="1" applyFill="1" applyBorder="1" applyAlignment="1">
      <alignment horizontal="right"/>
    </xf>
    <xf numFmtId="10" fontId="30" fillId="2" borderId="7" xfId="2" applyNumberFormat="1" applyFont="1" applyFill="1" applyBorder="1" applyAlignment="1">
      <alignment horizontal="right"/>
    </xf>
    <xf numFmtId="43" fontId="28" fillId="0" borderId="9" xfId="1" applyFont="1" applyFill="1" applyBorder="1"/>
    <xf numFmtId="44" fontId="30" fillId="0" borderId="7" xfId="5882" applyFont="1" applyFill="1" applyBorder="1"/>
    <xf numFmtId="44" fontId="30" fillId="18" borderId="7" xfId="5882" applyFont="1" applyFill="1" applyBorder="1"/>
    <xf numFmtId="44" fontId="32" fillId="0" borderId="7" xfId="5882" applyFont="1" applyFill="1" applyBorder="1"/>
    <xf numFmtId="44" fontId="30" fillId="0" borderId="7" xfId="5882" applyFont="1" applyFill="1" applyBorder="1" applyAlignment="1">
      <alignment horizontal="right"/>
    </xf>
    <xf numFmtId="44" fontId="28" fillId="18" borderId="7" xfId="5882" applyFont="1" applyFill="1" applyBorder="1"/>
    <xf numFmtId="44" fontId="30" fillId="0" borderId="7" xfId="5882" applyFont="1" applyBorder="1"/>
    <xf numFmtId="0" fontId="29" fillId="19" borderId="5" xfId="0" applyFont="1" applyFill="1" applyBorder="1" applyAlignment="1">
      <alignment horizontal="center" wrapText="1"/>
    </xf>
    <xf numFmtId="41" fontId="30" fillId="0" borderId="7" xfId="0" applyNumberFormat="1" applyFont="1" applyBorder="1" applyAlignment="1">
      <alignment vertical="center"/>
    </xf>
    <xf numFmtId="164" fontId="30" fillId="0" borderId="7" xfId="0" applyNumberFormat="1" applyFont="1" applyBorder="1"/>
    <xf numFmtId="41" fontId="31" fillId="0" borderId="7" xfId="0" applyNumberFormat="1" applyFont="1" applyBorder="1" applyAlignment="1">
      <alignment vertical="center"/>
    </xf>
    <xf numFmtId="164" fontId="28" fillId="0" borderId="7" xfId="0" applyNumberFormat="1" applyFont="1" applyBorder="1" applyAlignment="1">
      <alignment vertical="center"/>
    </xf>
    <xf numFmtId="165" fontId="24" fillId="0" borderId="7" xfId="292" applyNumberFormat="1" applyFont="1" applyFill="1" applyBorder="1"/>
    <xf numFmtId="0" fontId="2" fillId="0" borderId="0" xfId="5883"/>
    <xf numFmtId="164" fontId="0" fillId="0" borderId="0" xfId="5884" applyNumberFormat="1" applyFont="1"/>
    <xf numFmtId="0" fontId="2" fillId="20" borderId="12" xfId="5883" applyFill="1" applyBorder="1"/>
    <xf numFmtId="167" fontId="0" fillId="20" borderId="13" xfId="5885" applyNumberFormat="1" applyFont="1" applyFill="1" applyBorder="1"/>
    <xf numFmtId="0" fontId="2" fillId="0" borderId="12" xfId="5883" applyBorder="1"/>
    <xf numFmtId="167" fontId="0" fillId="0" borderId="13" xfId="5885" applyNumberFormat="1" applyFont="1" applyBorder="1"/>
    <xf numFmtId="0" fontId="33" fillId="0" borderId="10" xfId="5883" applyFont="1" applyBorder="1"/>
    <xf numFmtId="0" fontId="33" fillId="0" borderId="14" xfId="5883" applyFont="1" applyBorder="1"/>
    <xf numFmtId="164" fontId="33" fillId="0" borderId="11" xfId="5884" applyNumberFormat="1" applyFont="1" applyBorder="1"/>
    <xf numFmtId="164" fontId="0" fillId="0" borderId="13" xfId="5884" applyNumberFormat="1" applyFont="1" applyBorder="1"/>
    <xf numFmtId="0" fontId="2" fillId="20" borderId="13" xfId="5883" applyFill="1" applyBorder="1"/>
    <xf numFmtId="1" fontId="2" fillId="20" borderId="13" xfId="5883" applyNumberFormat="1" applyFill="1" applyBorder="1"/>
    <xf numFmtId="0" fontId="2" fillId="20" borderId="15" xfId="5883" applyFill="1" applyBorder="1"/>
    <xf numFmtId="10" fontId="2" fillId="20" borderId="16" xfId="5883" applyNumberFormat="1" applyFill="1" applyBorder="1"/>
    <xf numFmtId="0" fontId="34" fillId="0" borderId="17" xfId="5883" applyFont="1" applyBorder="1"/>
    <xf numFmtId="44" fontId="34" fillId="0" borderId="18" xfId="5883" applyNumberFormat="1" applyFont="1" applyBorder="1"/>
    <xf numFmtId="0" fontId="2" fillId="0" borderId="13" xfId="5883" applyBorder="1"/>
    <xf numFmtId="0" fontId="2" fillId="22" borderId="10" xfId="5883" applyFill="1" applyBorder="1"/>
    <xf numFmtId="44" fontId="2" fillId="22" borderId="11" xfId="5883" applyNumberFormat="1" applyFill="1" applyBorder="1"/>
    <xf numFmtId="0" fontId="2" fillId="22" borderId="12" xfId="5883" applyFill="1" applyBorder="1"/>
    <xf numFmtId="44" fontId="2" fillId="22" borderId="13" xfId="5883" applyNumberFormat="1" applyFill="1" applyBorder="1"/>
    <xf numFmtId="0" fontId="2" fillId="22" borderId="19" xfId="5883" applyFill="1" applyBorder="1"/>
    <xf numFmtId="44" fontId="2" fillId="22" borderId="20" xfId="5883" applyNumberFormat="1" applyFill="1" applyBorder="1"/>
    <xf numFmtId="0" fontId="34" fillId="22" borderId="15" xfId="5883" applyFont="1" applyFill="1" applyBorder="1"/>
    <xf numFmtId="44" fontId="34" fillId="22" borderId="16" xfId="5883" applyNumberFormat="1" applyFont="1" applyFill="1" applyBorder="1"/>
    <xf numFmtId="0" fontId="33" fillId="0" borderId="17" xfId="5883" applyFont="1" applyBorder="1"/>
    <xf numFmtId="164" fontId="33" fillId="0" borderId="18" xfId="5884" applyNumberFormat="1" applyFont="1" applyBorder="1"/>
    <xf numFmtId="0" fontId="2" fillId="0" borderId="19" xfId="5883" applyBorder="1"/>
    <xf numFmtId="167" fontId="0" fillId="0" borderId="20" xfId="5885" applyNumberFormat="1" applyFont="1" applyBorder="1"/>
    <xf numFmtId="0" fontId="34" fillId="0" borderId="15" xfId="5883" applyFont="1" applyBorder="1"/>
    <xf numFmtId="167" fontId="34" fillId="0" borderId="16" xfId="5883" applyNumberFormat="1" applyFont="1" applyBorder="1"/>
    <xf numFmtId="1" fontId="2" fillId="0" borderId="13" xfId="5883" applyNumberFormat="1" applyBorder="1"/>
    <xf numFmtId="167" fontId="2" fillId="0" borderId="13" xfId="5883" applyNumberFormat="1" applyBorder="1"/>
    <xf numFmtId="1" fontId="2" fillId="0" borderId="20" xfId="5883" applyNumberFormat="1" applyBorder="1"/>
    <xf numFmtId="9" fontId="0" fillId="0" borderId="13" xfId="5886" applyFont="1" applyBorder="1"/>
    <xf numFmtId="9" fontId="2" fillId="0" borderId="13" xfId="5883" applyNumberFormat="1" applyBorder="1"/>
    <xf numFmtId="0" fontId="2" fillId="0" borderId="15" xfId="5883" applyBorder="1"/>
    <xf numFmtId="44" fontId="2" fillId="0" borderId="16" xfId="5883" applyNumberFormat="1" applyBorder="1"/>
    <xf numFmtId="0" fontId="34" fillId="0" borderId="21" xfId="5883" applyFont="1" applyBorder="1"/>
    <xf numFmtId="44" fontId="34" fillId="0" borderId="22" xfId="5883" applyNumberFormat="1" applyFont="1" applyBorder="1"/>
    <xf numFmtId="0" fontId="34" fillId="0" borderId="23" xfId="5883" applyFont="1" applyBorder="1"/>
    <xf numFmtId="44" fontId="34" fillId="0" borderId="24" xfId="5883" applyNumberFormat="1" applyFont="1" applyBorder="1"/>
    <xf numFmtId="0" fontId="2" fillId="0" borderId="16" xfId="5883" applyBorder="1"/>
    <xf numFmtId="44" fontId="34" fillId="0" borderId="0" xfId="5883" applyNumberFormat="1" applyFont="1"/>
    <xf numFmtId="44" fontId="35" fillId="0" borderId="7" xfId="5882" applyFont="1" applyFill="1" applyBorder="1"/>
    <xf numFmtId="0" fontId="36" fillId="0" borderId="0" xfId="0" applyFont="1"/>
    <xf numFmtId="164" fontId="37" fillId="0" borderId="0" xfId="1" applyNumberFormat="1" applyFont="1" applyBorder="1" applyAlignment="1"/>
    <xf numFmtId="0" fontId="38" fillId="19" borderId="1" xfId="0" applyFont="1" applyFill="1" applyBorder="1" applyAlignment="1">
      <alignment horizontal="center"/>
    </xf>
    <xf numFmtId="164" fontId="39" fillId="0" borderId="7" xfId="1" applyNumberFormat="1" applyFont="1" applyBorder="1" applyAlignment="1">
      <alignment vertical="center"/>
    </xf>
    <xf numFmtId="164" fontId="39" fillId="0" borderId="7" xfId="1" applyNumberFormat="1" applyFont="1" applyFill="1" applyBorder="1"/>
    <xf numFmtId="164" fontId="40" fillId="0" borderId="7" xfId="1" applyNumberFormat="1" applyFont="1" applyFill="1" applyBorder="1" applyAlignment="1"/>
    <xf numFmtId="164" fontId="37" fillId="0" borderId="7" xfId="1" applyNumberFormat="1" applyFont="1" applyBorder="1"/>
    <xf numFmtId="164" fontId="37" fillId="0" borderId="7" xfId="0" applyNumberFormat="1" applyFont="1" applyBorder="1"/>
    <xf numFmtId="164" fontId="40" fillId="0" borderId="7" xfId="0" applyNumberFormat="1" applyFont="1" applyBorder="1"/>
    <xf numFmtId="164" fontId="40" fillId="0" borderId="7" xfId="0" applyNumberFormat="1" applyFont="1" applyBorder="1" applyAlignment="1">
      <alignment vertical="center"/>
    </xf>
    <xf numFmtId="164" fontId="37" fillId="18" borderId="8" xfId="0" applyNumberFormat="1" applyFont="1" applyFill="1" applyBorder="1"/>
    <xf numFmtId="164" fontId="39" fillId="17" borderId="7" xfId="1" applyNumberFormat="1" applyFont="1" applyFill="1" applyBorder="1"/>
    <xf numFmtId="43" fontId="39" fillId="17" borderId="7" xfId="1" applyFont="1" applyFill="1" applyBorder="1"/>
    <xf numFmtId="43" fontId="39" fillId="0" borderId="7" xfId="1" applyFont="1" applyFill="1" applyBorder="1"/>
    <xf numFmtId="43" fontId="39" fillId="3" borderId="7" xfId="1" applyFont="1" applyFill="1" applyBorder="1"/>
    <xf numFmtId="166" fontId="41" fillId="0" borderId="7" xfId="292" applyNumberFormat="1" applyFont="1" applyFill="1" applyBorder="1"/>
    <xf numFmtId="43" fontId="39" fillId="0" borderId="7" xfId="1" applyFont="1" applyFill="1" applyBorder="1" applyAlignment="1">
      <alignment horizontal="right"/>
    </xf>
    <xf numFmtId="43" fontId="39" fillId="2" borderId="7" xfId="1" applyFont="1" applyFill="1" applyBorder="1" applyAlignment="1">
      <alignment horizontal="right"/>
    </xf>
    <xf numFmtId="10" fontId="39" fillId="2" borderId="7" xfId="2" applyNumberFormat="1" applyFont="1" applyFill="1" applyBorder="1" applyAlignment="1">
      <alignment horizontal="right"/>
    </xf>
    <xf numFmtId="43" fontId="37" fillId="0" borderId="9" xfId="1" applyFont="1" applyFill="1" applyBorder="1"/>
    <xf numFmtId="44" fontId="39" fillId="0" borderId="7" xfId="5882" applyFont="1" applyFill="1" applyBorder="1"/>
    <xf numFmtId="44" fontId="39" fillId="18" borderId="7" xfId="5882" applyFont="1" applyFill="1" applyBorder="1"/>
    <xf numFmtId="44" fontId="42" fillId="0" borderId="7" xfId="5882" applyFont="1" applyFill="1" applyBorder="1"/>
    <xf numFmtId="44" fontId="39" fillId="0" borderId="7" xfId="5882" applyFont="1" applyFill="1" applyBorder="1" applyAlignment="1">
      <alignment horizontal="right"/>
    </xf>
    <xf numFmtId="44" fontId="37" fillId="18" borderId="7" xfId="5882" applyFont="1" applyFill="1" applyBorder="1"/>
    <xf numFmtId="44" fontId="39" fillId="0" borderId="7" xfId="5882" applyFont="1" applyBorder="1"/>
    <xf numFmtId="0" fontId="43" fillId="0" borderId="0" xfId="0" applyFont="1"/>
    <xf numFmtId="164" fontId="43" fillId="0" borderId="0" xfId="1" applyNumberFormat="1" applyFont="1"/>
    <xf numFmtId="0" fontId="44" fillId="19" borderId="1" xfId="0" applyFont="1" applyFill="1" applyBorder="1" applyAlignment="1">
      <alignment horizontal="center" wrapText="1"/>
    </xf>
    <xf numFmtId="41" fontId="35" fillId="0" borderId="7" xfId="0" applyNumberFormat="1" applyFont="1" applyBorder="1" applyAlignment="1">
      <alignment vertical="center"/>
    </xf>
    <xf numFmtId="164" fontId="35" fillId="0" borderId="7" xfId="0" applyNumberFormat="1" applyFont="1" applyBorder="1"/>
    <xf numFmtId="41" fontId="45" fillId="0" borderId="7" xfId="0" applyNumberFormat="1" applyFont="1" applyBorder="1" applyAlignment="1">
      <alignment vertical="center"/>
    </xf>
    <xf numFmtId="164" fontId="46" fillId="0" borderId="7" xfId="1" applyNumberFormat="1" applyFont="1" applyBorder="1"/>
    <xf numFmtId="164" fontId="46" fillId="0" borderId="7" xfId="0" applyNumberFormat="1" applyFont="1" applyBorder="1" applyAlignment="1">
      <alignment vertical="center"/>
    </xf>
    <xf numFmtId="164" fontId="45" fillId="0" borderId="7" xfId="0" applyNumberFormat="1" applyFont="1" applyBorder="1"/>
    <xf numFmtId="164" fontId="45" fillId="0" borderId="7" xfId="0" applyNumberFormat="1" applyFont="1" applyBorder="1" applyAlignment="1">
      <alignment vertical="center"/>
    </xf>
    <xf numFmtId="164" fontId="46" fillId="0" borderId="7" xfId="0" applyNumberFormat="1" applyFont="1" applyBorder="1"/>
    <xf numFmtId="164" fontId="35" fillId="17" borderId="7" xfId="1" applyNumberFormat="1" applyFont="1" applyFill="1" applyBorder="1"/>
    <xf numFmtId="43" fontId="35" fillId="17" borderId="0" xfId="1" applyFont="1" applyFill="1" applyBorder="1"/>
    <xf numFmtId="43" fontId="35" fillId="17" borderId="7" xfId="1" applyFont="1" applyFill="1" applyBorder="1"/>
    <xf numFmtId="43" fontId="35" fillId="0" borderId="7" xfId="1" applyFont="1" applyFill="1" applyBorder="1"/>
    <xf numFmtId="43" fontId="35" fillId="3" borderId="7" xfId="1" applyFont="1" applyFill="1" applyBorder="1"/>
    <xf numFmtId="165" fontId="47" fillId="0" borderId="7" xfId="292" applyNumberFormat="1" applyFont="1" applyFill="1" applyBorder="1"/>
    <xf numFmtId="43" fontId="35" fillId="0" borderId="7" xfId="1" applyFont="1" applyFill="1" applyBorder="1" applyAlignment="1">
      <alignment horizontal="right"/>
    </xf>
    <xf numFmtId="43" fontId="35" fillId="2" borderId="7" xfId="1" applyFont="1" applyFill="1" applyBorder="1" applyAlignment="1">
      <alignment horizontal="right"/>
    </xf>
    <xf numFmtId="10" fontId="35" fillId="2" borderId="7" xfId="2" applyNumberFormat="1" applyFont="1" applyFill="1" applyBorder="1" applyAlignment="1">
      <alignment horizontal="right"/>
    </xf>
    <xf numFmtId="164" fontId="35" fillId="0" borderId="7" xfId="1" applyNumberFormat="1" applyFont="1" applyFill="1" applyBorder="1"/>
    <xf numFmtId="43" fontId="46" fillId="0" borderId="9" xfId="1" applyFont="1" applyFill="1" applyBorder="1"/>
    <xf numFmtId="44" fontId="35" fillId="18" borderId="7" xfId="5882" applyFont="1" applyFill="1" applyBorder="1"/>
    <xf numFmtId="44" fontId="35" fillId="0" borderId="7" xfId="5882" applyFont="1" applyFill="1" applyBorder="1" applyAlignment="1">
      <alignment horizontal="right"/>
    </xf>
    <xf numFmtId="44" fontId="46" fillId="18" borderId="7" xfId="5882" applyFont="1" applyFill="1" applyBorder="1"/>
    <xf numFmtId="44" fontId="35" fillId="0" borderId="7" xfId="5882" applyFont="1" applyBorder="1"/>
    <xf numFmtId="167" fontId="39" fillId="17" borderId="7" xfId="5882" applyNumberFormat="1" applyFont="1" applyFill="1" applyBorder="1"/>
    <xf numFmtId="167" fontId="39" fillId="0" borderId="7" xfId="5882" applyNumberFormat="1" applyFont="1" applyFill="1" applyBorder="1"/>
    <xf numFmtId="9" fontId="39" fillId="0" borderId="7" xfId="2" applyFont="1" applyFill="1" applyBorder="1"/>
    <xf numFmtId="167" fontId="0" fillId="0" borderId="0" xfId="5882" applyNumberFormat="1" applyFont="1"/>
    <xf numFmtId="167" fontId="39" fillId="0" borderId="7" xfId="5882" applyNumberFormat="1" applyFont="1" applyBorder="1"/>
    <xf numFmtId="167" fontId="30" fillId="0" borderId="0" xfId="5882" applyNumberFormat="1" applyFont="1"/>
    <xf numFmtId="167" fontId="35" fillId="0" borderId="7" xfId="5882" applyNumberFormat="1" applyFont="1" applyBorder="1"/>
    <xf numFmtId="167" fontId="30" fillId="0" borderId="7" xfId="5882" applyNumberFormat="1" applyFont="1" applyBorder="1"/>
    <xf numFmtId="167" fontId="37" fillId="18" borderId="7" xfId="5882" applyNumberFormat="1" applyFont="1" applyFill="1" applyBorder="1"/>
    <xf numFmtId="167" fontId="28" fillId="18" borderId="0" xfId="5882" applyNumberFormat="1" applyFont="1" applyFill="1" applyBorder="1"/>
    <xf numFmtId="167" fontId="46" fillId="18" borderId="7" xfId="5882" applyNumberFormat="1" applyFont="1" applyFill="1" applyBorder="1"/>
    <xf numFmtId="167" fontId="27" fillId="0" borderId="0" xfId="5882" applyNumberFormat="1" applyFont="1"/>
    <xf numFmtId="167" fontId="6" fillId="18" borderId="0" xfId="5882" applyNumberFormat="1" applyFont="1" applyFill="1" applyAlignment="1">
      <alignment wrapText="1"/>
    </xf>
    <xf numFmtId="167" fontId="18" fillId="0" borderId="0" xfId="5882" applyNumberFormat="1" applyFont="1" applyAlignment="1">
      <alignment horizontal="center" wrapText="1"/>
    </xf>
    <xf numFmtId="167" fontId="28" fillId="18" borderId="7" xfId="5882" applyNumberFormat="1" applyFont="1" applyFill="1" applyBorder="1"/>
    <xf numFmtId="0" fontId="1" fillId="0" borderId="12" xfId="5883" applyFont="1" applyBorder="1"/>
    <xf numFmtId="164" fontId="33" fillId="0" borderId="25" xfId="5884" applyNumberFormat="1" applyFont="1" applyBorder="1"/>
    <xf numFmtId="0" fontId="2" fillId="0" borderId="26" xfId="5883" applyBorder="1"/>
    <xf numFmtId="3" fontId="0" fillId="0" borderId="0" xfId="0" applyNumberFormat="1"/>
    <xf numFmtId="1" fontId="2" fillId="0" borderId="0" xfId="5883" applyNumberFormat="1"/>
    <xf numFmtId="43" fontId="18" fillId="0" borderId="0" xfId="0" applyNumberFormat="1" applyFont="1" applyAlignment="1">
      <alignment horizontal="center" wrapText="1"/>
    </xf>
    <xf numFmtId="44" fontId="2" fillId="0" borderId="0" xfId="5883" applyNumberFormat="1"/>
    <xf numFmtId="0" fontId="2" fillId="0" borderId="10" xfId="5883" applyBorder="1" applyAlignment="1">
      <alignment horizontal="center"/>
    </xf>
    <xf numFmtId="0" fontId="2" fillId="0" borderId="11" xfId="5883" applyBorder="1" applyAlignment="1">
      <alignment horizontal="center"/>
    </xf>
    <xf numFmtId="0" fontId="33" fillId="0" borderId="10" xfId="5883" applyFont="1" applyBorder="1" applyAlignment="1">
      <alignment horizontal="center"/>
    </xf>
    <xf numFmtId="0" fontId="33" fillId="0" borderId="11" xfId="5883" applyFont="1" applyBorder="1" applyAlignment="1">
      <alignment horizontal="center"/>
    </xf>
    <xf numFmtId="0" fontId="2" fillId="23" borderId="5" xfId="5883" applyFill="1" applyBorder="1" applyAlignment="1">
      <alignment horizontal="center"/>
    </xf>
    <xf numFmtId="0" fontId="2" fillId="23" borderId="6" xfId="5883" applyFill="1" applyBorder="1" applyAlignment="1">
      <alignment horizontal="center"/>
    </xf>
    <xf numFmtId="0" fontId="2" fillId="21" borderId="5" xfId="5883" applyFill="1" applyBorder="1" applyAlignment="1">
      <alignment horizontal="center"/>
    </xf>
    <xf numFmtId="0" fontId="2" fillId="21" borderId="6" xfId="5883" applyFill="1" applyBorder="1" applyAlignment="1">
      <alignment horizontal="center"/>
    </xf>
  </cellXfs>
  <cellStyles count="5887">
    <cellStyle name="20% - Accent1 2" xfId="1174" xr:uid="{00000000-0005-0000-0000-000000000000}"/>
    <cellStyle name="20% - Accent1 2 2" xfId="3634" xr:uid="{00000000-0005-0000-0000-000001000000}"/>
    <cellStyle name="20% - Accent2 2" xfId="1175" xr:uid="{00000000-0005-0000-0000-000002000000}"/>
    <cellStyle name="20% - Accent2 2 2" xfId="4139" xr:uid="{00000000-0005-0000-0000-000003000000}"/>
    <cellStyle name="20% - Accent3 2" xfId="1176" xr:uid="{00000000-0005-0000-0000-000004000000}"/>
    <cellStyle name="20% - Accent3 2 2" xfId="4385" xr:uid="{00000000-0005-0000-0000-000005000000}"/>
    <cellStyle name="20% - Accent4 2" xfId="1177" xr:uid="{00000000-0005-0000-0000-000006000000}"/>
    <cellStyle name="20% - Accent4 2 2" xfId="3885" xr:uid="{00000000-0005-0000-0000-000007000000}"/>
    <cellStyle name="20% - Accent5 2" xfId="1178" xr:uid="{00000000-0005-0000-0000-000008000000}"/>
    <cellStyle name="20% - Accent5 2 2" xfId="3633" xr:uid="{00000000-0005-0000-0000-000009000000}"/>
    <cellStyle name="20% - Accent6 2" xfId="1179" xr:uid="{00000000-0005-0000-0000-00000A000000}"/>
    <cellStyle name="20% - Accent6 2 2" xfId="4138" xr:uid="{00000000-0005-0000-0000-00000B000000}"/>
    <cellStyle name="40% - Accent1 2" xfId="1180" xr:uid="{00000000-0005-0000-0000-00000C000000}"/>
    <cellStyle name="40% - Accent1 2 2" xfId="4384" xr:uid="{00000000-0005-0000-0000-00000D000000}"/>
    <cellStyle name="40% - Accent2 2" xfId="1181" xr:uid="{00000000-0005-0000-0000-00000E000000}"/>
    <cellStyle name="40% - Accent2 2 2" xfId="3884" xr:uid="{00000000-0005-0000-0000-00000F000000}"/>
    <cellStyle name="40% - Accent3 2" xfId="1182" xr:uid="{00000000-0005-0000-0000-000010000000}"/>
    <cellStyle name="40% - Accent3 2 2" xfId="3632" xr:uid="{00000000-0005-0000-0000-000011000000}"/>
    <cellStyle name="40% - Accent4 2" xfId="1183" xr:uid="{00000000-0005-0000-0000-000012000000}"/>
    <cellStyle name="40% - Accent4 2 2" xfId="4137" xr:uid="{00000000-0005-0000-0000-000013000000}"/>
    <cellStyle name="40% - Accent5 2" xfId="1184" xr:uid="{00000000-0005-0000-0000-000014000000}"/>
    <cellStyle name="40% - Accent5 2 2" xfId="4383" xr:uid="{00000000-0005-0000-0000-000015000000}"/>
    <cellStyle name="40% - Accent6 2" xfId="1185" xr:uid="{00000000-0005-0000-0000-000016000000}"/>
    <cellStyle name="40% - Accent6 2 2" xfId="3883" xr:uid="{00000000-0005-0000-0000-000017000000}"/>
    <cellStyle name="Comma" xfId="1" builtinId="3"/>
    <cellStyle name="Comma 10" xfId="3" xr:uid="{00000000-0005-0000-0000-000019000000}"/>
    <cellStyle name="Comma 10 10" xfId="2364" xr:uid="{00000000-0005-0000-0000-00001A000000}"/>
    <cellStyle name="Comma 10 2" xfId="4" xr:uid="{00000000-0005-0000-0000-00001B000000}"/>
    <cellStyle name="Comma 10 2 2" xfId="5" xr:uid="{00000000-0005-0000-0000-00001C000000}"/>
    <cellStyle name="Comma 10 2 2 2" xfId="6" xr:uid="{00000000-0005-0000-0000-00001D000000}"/>
    <cellStyle name="Comma 10 2 2 2 2" xfId="1970" xr:uid="{00000000-0005-0000-0000-00001E000000}"/>
    <cellStyle name="Comma 10 2 2 2 2 2" xfId="3631" xr:uid="{00000000-0005-0000-0000-00001F000000}"/>
    <cellStyle name="Comma 10 2 2 2 3" xfId="4136" xr:uid="{00000000-0005-0000-0000-000020000000}"/>
    <cellStyle name="Comma 10 2 2 2 4" xfId="3130" xr:uid="{00000000-0005-0000-0000-000021000000}"/>
    <cellStyle name="Comma 10 2 2 3" xfId="1396" xr:uid="{00000000-0005-0000-0000-000022000000}"/>
    <cellStyle name="Comma 10 2 2 3 2" xfId="4382" xr:uid="{00000000-0005-0000-0000-000023000000}"/>
    <cellStyle name="Comma 10 2 2 4" xfId="3882" xr:uid="{00000000-0005-0000-0000-000024000000}"/>
    <cellStyle name="Comma 10 2 2 5" xfId="2555" xr:uid="{00000000-0005-0000-0000-000025000000}"/>
    <cellStyle name="Comma 10 2 3" xfId="7" xr:uid="{00000000-0005-0000-0000-000026000000}"/>
    <cellStyle name="Comma 10 2 3 2" xfId="8" xr:uid="{00000000-0005-0000-0000-000027000000}"/>
    <cellStyle name="Comma 10 2 3 2 2" xfId="2106" xr:uid="{00000000-0005-0000-0000-000028000000}"/>
    <cellStyle name="Comma 10 2 3 2 2 2" xfId="3630" xr:uid="{00000000-0005-0000-0000-000029000000}"/>
    <cellStyle name="Comma 10 2 3 2 3" xfId="4135" xr:uid="{00000000-0005-0000-0000-00002A000000}"/>
    <cellStyle name="Comma 10 2 3 2 4" xfId="3266" xr:uid="{00000000-0005-0000-0000-00002B000000}"/>
    <cellStyle name="Comma 10 2 3 3" xfId="1532" xr:uid="{00000000-0005-0000-0000-00002C000000}"/>
    <cellStyle name="Comma 10 2 3 3 2" xfId="4381" xr:uid="{00000000-0005-0000-0000-00002D000000}"/>
    <cellStyle name="Comma 10 2 3 4" xfId="3881" xr:uid="{00000000-0005-0000-0000-00002E000000}"/>
    <cellStyle name="Comma 10 2 3 5" xfId="2691" xr:uid="{00000000-0005-0000-0000-00002F000000}"/>
    <cellStyle name="Comma 10 2 4" xfId="9" xr:uid="{00000000-0005-0000-0000-000030000000}"/>
    <cellStyle name="Comma 10 2 4 2" xfId="10" xr:uid="{00000000-0005-0000-0000-000031000000}"/>
    <cellStyle name="Comma 10 2 4 2 2" xfId="2252" xr:uid="{00000000-0005-0000-0000-000032000000}"/>
    <cellStyle name="Comma 10 2 4 2 2 2" xfId="3629" xr:uid="{00000000-0005-0000-0000-000033000000}"/>
    <cellStyle name="Comma 10 2 4 2 3" xfId="4134" xr:uid="{00000000-0005-0000-0000-000034000000}"/>
    <cellStyle name="Comma 10 2 4 2 4" xfId="3412" xr:uid="{00000000-0005-0000-0000-000035000000}"/>
    <cellStyle name="Comma 10 2 4 3" xfId="1678" xr:uid="{00000000-0005-0000-0000-000036000000}"/>
    <cellStyle name="Comma 10 2 4 3 2" xfId="4380" xr:uid="{00000000-0005-0000-0000-000037000000}"/>
    <cellStyle name="Comma 10 2 4 4" xfId="3880" xr:uid="{00000000-0005-0000-0000-000038000000}"/>
    <cellStyle name="Comma 10 2 4 5" xfId="2837" xr:uid="{00000000-0005-0000-0000-000039000000}"/>
    <cellStyle name="Comma 10 2 5" xfId="11" xr:uid="{00000000-0005-0000-0000-00003A000000}"/>
    <cellStyle name="Comma 10 2 5 2" xfId="1827" xr:uid="{00000000-0005-0000-0000-00003B000000}"/>
    <cellStyle name="Comma 10 2 5 2 2" xfId="3637" xr:uid="{00000000-0005-0000-0000-00003C000000}"/>
    <cellStyle name="Comma 10 2 5 3" xfId="3628" xr:uid="{00000000-0005-0000-0000-00003D000000}"/>
    <cellStyle name="Comma 10 2 5 4" xfId="2987" xr:uid="{00000000-0005-0000-0000-00003E000000}"/>
    <cellStyle name="Comma 10 2 6" xfId="1252" xr:uid="{00000000-0005-0000-0000-00003F000000}"/>
    <cellStyle name="Comma 10 2 6 2" xfId="4133" xr:uid="{00000000-0005-0000-0000-000040000000}"/>
    <cellStyle name="Comma 10 2 7" xfId="4507" xr:uid="{00000000-0005-0000-0000-000041000000}"/>
    <cellStyle name="Comma 10 2 8" xfId="2411" xr:uid="{00000000-0005-0000-0000-000042000000}"/>
    <cellStyle name="Comma 10 3" xfId="12" xr:uid="{00000000-0005-0000-0000-000043000000}"/>
    <cellStyle name="Comma 10 3 2" xfId="13" xr:uid="{00000000-0005-0000-0000-000044000000}"/>
    <cellStyle name="Comma 10 3 2 2" xfId="14" xr:uid="{00000000-0005-0000-0000-000045000000}"/>
    <cellStyle name="Comma 10 3 2 2 2" xfId="2004" xr:uid="{00000000-0005-0000-0000-000046000000}"/>
    <cellStyle name="Comma 10 3 2 2 2 2" xfId="4007" xr:uid="{00000000-0005-0000-0000-000047000000}"/>
    <cellStyle name="Comma 10 3 2 2 3" xfId="4379" xr:uid="{00000000-0005-0000-0000-000048000000}"/>
    <cellStyle name="Comma 10 3 2 2 4" xfId="3164" xr:uid="{00000000-0005-0000-0000-000049000000}"/>
    <cellStyle name="Comma 10 3 2 3" xfId="1430" xr:uid="{00000000-0005-0000-0000-00004A000000}"/>
    <cellStyle name="Comma 10 3 2 3 2" xfId="3879" xr:uid="{00000000-0005-0000-0000-00004B000000}"/>
    <cellStyle name="Comma 10 3 2 4" xfId="4259" xr:uid="{00000000-0005-0000-0000-00004C000000}"/>
    <cellStyle name="Comma 10 3 2 5" xfId="2589" xr:uid="{00000000-0005-0000-0000-00004D000000}"/>
    <cellStyle name="Comma 10 3 3" xfId="15" xr:uid="{00000000-0005-0000-0000-00004E000000}"/>
    <cellStyle name="Comma 10 3 3 2" xfId="16" xr:uid="{00000000-0005-0000-0000-00004F000000}"/>
    <cellStyle name="Comma 10 3 3 2 2" xfId="2140" xr:uid="{00000000-0005-0000-0000-000050000000}"/>
    <cellStyle name="Comma 10 3 3 2 2 2" xfId="3758" xr:uid="{00000000-0005-0000-0000-000051000000}"/>
    <cellStyle name="Comma 10 3 3 2 3" xfId="3627" xr:uid="{00000000-0005-0000-0000-000052000000}"/>
    <cellStyle name="Comma 10 3 3 2 4" xfId="3300" xr:uid="{00000000-0005-0000-0000-000053000000}"/>
    <cellStyle name="Comma 10 3 3 3" xfId="1566" xr:uid="{00000000-0005-0000-0000-000054000000}"/>
    <cellStyle name="Comma 10 3 3 3 2" xfId="4294" xr:uid="{00000000-0005-0000-0000-000055000000}"/>
    <cellStyle name="Comma 10 3 3 4" xfId="3794" xr:uid="{00000000-0005-0000-0000-000056000000}"/>
    <cellStyle name="Comma 10 3 3 5" xfId="2725" xr:uid="{00000000-0005-0000-0000-000057000000}"/>
    <cellStyle name="Comma 10 3 4" xfId="17" xr:uid="{00000000-0005-0000-0000-000058000000}"/>
    <cellStyle name="Comma 10 3 4 2" xfId="18" xr:uid="{00000000-0005-0000-0000-000059000000}"/>
    <cellStyle name="Comma 10 3 4 2 2" xfId="2286" xr:uid="{00000000-0005-0000-0000-00005A000000}"/>
    <cellStyle name="Comma 10 3 4 2 2 2" xfId="3636" xr:uid="{00000000-0005-0000-0000-00005B000000}"/>
    <cellStyle name="Comma 10 3 4 2 3" xfId="4048" xr:uid="{00000000-0005-0000-0000-00005C000000}"/>
    <cellStyle name="Comma 10 3 4 2 4" xfId="3446" xr:uid="{00000000-0005-0000-0000-00005D000000}"/>
    <cellStyle name="Comma 10 3 4 3" xfId="1712" xr:uid="{00000000-0005-0000-0000-00005E000000}"/>
    <cellStyle name="Comma 10 3 4 3 2" xfId="4422" xr:uid="{00000000-0005-0000-0000-00005F000000}"/>
    <cellStyle name="Comma 10 3 4 4" xfId="3922" xr:uid="{00000000-0005-0000-0000-000060000000}"/>
    <cellStyle name="Comma 10 3 4 5" xfId="2871" xr:uid="{00000000-0005-0000-0000-000061000000}"/>
    <cellStyle name="Comma 10 3 5" xfId="19" xr:uid="{00000000-0005-0000-0000-000062000000}"/>
    <cellStyle name="Comma 10 3 5 2" xfId="1861" xr:uid="{00000000-0005-0000-0000-000063000000}"/>
    <cellStyle name="Comma 10 3 5 2 2" xfId="4386" xr:uid="{00000000-0005-0000-0000-000064000000}"/>
    <cellStyle name="Comma 10 3 5 3" xfId="3886" xr:uid="{00000000-0005-0000-0000-000065000000}"/>
    <cellStyle name="Comma 10 3 5 4" xfId="3021" xr:uid="{00000000-0005-0000-0000-000066000000}"/>
    <cellStyle name="Comma 10 3 6" xfId="1286" xr:uid="{00000000-0005-0000-0000-000067000000}"/>
    <cellStyle name="Comma 10 3 6 2" xfId="3673" xr:uid="{00000000-0005-0000-0000-000068000000}"/>
    <cellStyle name="Comma 10 3 7" xfId="4125" xr:uid="{00000000-0005-0000-0000-000069000000}"/>
    <cellStyle name="Comma 10 3 8" xfId="2445" xr:uid="{00000000-0005-0000-0000-00006A000000}"/>
    <cellStyle name="Comma 10 4" xfId="20" xr:uid="{00000000-0005-0000-0000-00006B000000}"/>
    <cellStyle name="Comma 10 4 2" xfId="21" xr:uid="{00000000-0005-0000-0000-00006C000000}"/>
    <cellStyle name="Comma 10 4 2 2" xfId="1924" xr:uid="{00000000-0005-0000-0000-00006D000000}"/>
    <cellStyle name="Comma 10 4 2 2 2" xfId="4499" xr:uid="{00000000-0005-0000-0000-00006E000000}"/>
    <cellStyle name="Comma 10 4 2 3" xfId="3999" xr:uid="{00000000-0005-0000-0000-00006F000000}"/>
    <cellStyle name="Comma 10 4 2 4" xfId="3084" xr:uid="{00000000-0005-0000-0000-000070000000}"/>
    <cellStyle name="Comma 10 4 3" xfId="1349" xr:uid="{00000000-0005-0000-0000-000071000000}"/>
    <cellStyle name="Comma 10 4 3 2" xfId="4371" xr:uid="{00000000-0005-0000-0000-000072000000}"/>
    <cellStyle name="Comma 10 4 4" xfId="3871" xr:uid="{00000000-0005-0000-0000-000073000000}"/>
    <cellStyle name="Comma 10 4 5" xfId="2508" xr:uid="{00000000-0005-0000-0000-000074000000}"/>
    <cellStyle name="Comma 10 5" xfId="22" xr:uid="{00000000-0005-0000-0000-000075000000}"/>
    <cellStyle name="Comma 10 5 2" xfId="23" xr:uid="{00000000-0005-0000-0000-000076000000}"/>
    <cellStyle name="Comma 10 5 2 2" xfId="2059" xr:uid="{00000000-0005-0000-0000-000077000000}"/>
    <cellStyle name="Comma 10 5 2 2 2" xfId="4251" xr:uid="{00000000-0005-0000-0000-000078000000}"/>
    <cellStyle name="Comma 10 5 2 3" xfId="3750" xr:uid="{00000000-0005-0000-0000-000079000000}"/>
    <cellStyle name="Comma 10 5 2 4" xfId="3219" xr:uid="{00000000-0005-0000-0000-00007A000000}"/>
    <cellStyle name="Comma 10 5 3" xfId="1485" xr:uid="{00000000-0005-0000-0000-00007B000000}"/>
    <cellStyle name="Comma 10 5 3 2" xfId="3619" xr:uid="{00000000-0005-0000-0000-00007C000000}"/>
    <cellStyle name="Comma 10 5 4" xfId="4088" xr:uid="{00000000-0005-0000-0000-00007D000000}"/>
    <cellStyle name="Comma 10 5 5" xfId="2644" xr:uid="{00000000-0005-0000-0000-00007E000000}"/>
    <cellStyle name="Comma 10 6" xfId="24" xr:uid="{00000000-0005-0000-0000-00007F000000}"/>
    <cellStyle name="Comma 10 6 2" xfId="25" xr:uid="{00000000-0005-0000-0000-000080000000}"/>
    <cellStyle name="Comma 10 6 2 2" xfId="2205" xr:uid="{00000000-0005-0000-0000-000081000000}"/>
    <cellStyle name="Comma 10 6 2 2 2" xfId="4462" xr:uid="{00000000-0005-0000-0000-000082000000}"/>
    <cellStyle name="Comma 10 6 2 3" xfId="3962" xr:uid="{00000000-0005-0000-0000-000083000000}"/>
    <cellStyle name="Comma 10 6 2 4" xfId="3365" xr:uid="{00000000-0005-0000-0000-000084000000}"/>
    <cellStyle name="Comma 10 6 3" xfId="1631" xr:uid="{00000000-0005-0000-0000-000085000000}"/>
    <cellStyle name="Comma 10 6 3 2" xfId="4334" xr:uid="{00000000-0005-0000-0000-000086000000}"/>
    <cellStyle name="Comma 10 6 4" xfId="3834" xr:uid="{00000000-0005-0000-0000-000087000000}"/>
    <cellStyle name="Comma 10 6 5" xfId="2790" xr:uid="{00000000-0005-0000-0000-000088000000}"/>
    <cellStyle name="Comma 10 7" xfId="26" xr:uid="{00000000-0005-0000-0000-000089000000}"/>
    <cellStyle name="Comma 10 7 2" xfId="1780" xr:uid="{00000000-0005-0000-0000-00008A000000}"/>
    <cellStyle name="Comma 10 7 2 2" xfId="4214" xr:uid="{00000000-0005-0000-0000-00008B000000}"/>
    <cellStyle name="Comma 10 7 3" xfId="3713" xr:uid="{00000000-0005-0000-0000-00008C000000}"/>
    <cellStyle name="Comma 10 7 4" xfId="2940" xr:uid="{00000000-0005-0000-0000-00008D000000}"/>
    <cellStyle name="Comma 10 8" xfId="1205" xr:uid="{00000000-0005-0000-0000-00008E000000}"/>
    <cellStyle name="Comma 10 8 2" xfId="3582" xr:uid="{00000000-0005-0000-0000-00008F000000}"/>
    <cellStyle name="Comma 10 9" xfId="3540" xr:uid="{00000000-0005-0000-0000-000090000000}"/>
    <cellStyle name="Comma 11" xfId="27" xr:uid="{00000000-0005-0000-0000-000091000000}"/>
    <cellStyle name="Comma 11 10" xfId="2365" xr:uid="{00000000-0005-0000-0000-000092000000}"/>
    <cellStyle name="Comma 11 2" xfId="28" xr:uid="{00000000-0005-0000-0000-000093000000}"/>
    <cellStyle name="Comma 11 2 2" xfId="29" xr:uid="{00000000-0005-0000-0000-000094000000}"/>
    <cellStyle name="Comma 11 2 2 2" xfId="30" xr:uid="{00000000-0005-0000-0000-000095000000}"/>
    <cellStyle name="Comma 11 2 2 2 2" xfId="1971" xr:uid="{00000000-0005-0000-0000-000096000000}"/>
    <cellStyle name="Comma 11 2 2 2 2 2" xfId="4130" xr:uid="{00000000-0005-0000-0000-000097000000}"/>
    <cellStyle name="Comma 11 2 2 2 3" xfId="4504" xr:uid="{00000000-0005-0000-0000-000098000000}"/>
    <cellStyle name="Comma 11 2 2 2 4" xfId="3131" xr:uid="{00000000-0005-0000-0000-000099000000}"/>
    <cellStyle name="Comma 11 2 2 3" xfId="1397" xr:uid="{00000000-0005-0000-0000-00009A000000}"/>
    <cellStyle name="Comma 11 2 2 3 2" xfId="4004" xr:uid="{00000000-0005-0000-0000-00009B000000}"/>
    <cellStyle name="Comma 11 2 2 4" xfId="4376" xr:uid="{00000000-0005-0000-0000-00009C000000}"/>
    <cellStyle name="Comma 11 2 2 5" xfId="2556" xr:uid="{00000000-0005-0000-0000-00009D000000}"/>
    <cellStyle name="Comma 11 2 3" xfId="31" xr:uid="{00000000-0005-0000-0000-00009E000000}"/>
    <cellStyle name="Comma 11 2 3 2" xfId="32" xr:uid="{00000000-0005-0000-0000-00009F000000}"/>
    <cellStyle name="Comma 11 2 3 2 2" xfId="2107" xr:uid="{00000000-0005-0000-0000-0000A0000000}"/>
    <cellStyle name="Comma 11 2 3 2 2 2" xfId="3876" xr:uid="{00000000-0005-0000-0000-0000A1000000}"/>
    <cellStyle name="Comma 11 2 3 2 3" xfId="4256" xr:uid="{00000000-0005-0000-0000-0000A2000000}"/>
    <cellStyle name="Comma 11 2 3 2 4" xfId="3267" xr:uid="{00000000-0005-0000-0000-0000A3000000}"/>
    <cellStyle name="Comma 11 2 3 3" xfId="1533" xr:uid="{00000000-0005-0000-0000-0000A4000000}"/>
    <cellStyle name="Comma 11 2 3 3 2" xfId="3755" xr:uid="{00000000-0005-0000-0000-0000A5000000}"/>
    <cellStyle name="Comma 11 2 3 4" xfId="3624" xr:uid="{00000000-0005-0000-0000-0000A6000000}"/>
    <cellStyle name="Comma 11 2 3 5" xfId="2692" xr:uid="{00000000-0005-0000-0000-0000A7000000}"/>
    <cellStyle name="Comma 11 2 4" xfId="33" xr:uid="{00000000-0005-0000-0000-0000A8000000}"/>
    <cellStyle name="Comma 11 2 4 2" xfId="34" xr:uid="{00000000-0005-0000-0000-0000A9000000}"/>
    <cellStyle name="Comma 11 2 4 2 2" xfId="2253" xr:uid="{00000000-0005-0000-0000-0000AA000000}"/>
    <cellStyle name="Comma 11 2 4 2 2 2" xfId="4129" xr:uid="{00000000-0005-0000-0000-0000AB000000}"/>
    <cellStyle name="Comma 11 2 4 2 3" xfId="4503" xr:uid="{00000000-0005-0000-0000-0000AC000000}"/>
    <cellStyle name="Comma 11 2 4 2 4" xfId="3413" xr:uid="{00000000-0005-0000-0000-0000AD000000}"/>
    <cellStyle name="Comma 11 2 4 3" xfId="1679" xr:uid="{00000000-0005-0000-0000-0000AE000000}"/>
    <cellStyle name="Comma 11 2 4 3 2" xfId="4003" xr:uid="{00000000-0005-0000-0000-0000AF000000}"/>
    <cellStyle name="Comma 11 2 4 4" xfId="4375" xr:uid="{00000000-0005-0000-0000-0000B0000000}"/>
    <cellStyle name="Comma 11 2 4 5" xfId="2838" xr:uid="{00000000-0005-0000-0000-0000B1000000}"/>
    <cellStyle name="Comma 11 2 5" xfId="35" xr:uid="{00000000-0005-0000-0000-0000B2000000}"/>
    <cellStyle name="Comma 11 2 5 2" xfId="1828" xr:uid="{00000000-0005-0000-0000-0000B3000000}"/>
    <cellStyle name="Comma 11 2 5 2 2" xfId="3875" xr:uid="{00000000-0005-0000-0000-0000B4000000}"/>
    <cellStyle name="Comma 11 2 5 3" xfId="4255" xr:uid="{00000000-0005-0000-0000-0000B5000000}"/>
    <cellStyle name="Comma 11 2 5 4" xfId="2988" xr:uid="{00000000-0005-0000-0000-0000B6000000}"/>
    <cellStyle name="Comma 11 2 6" xfId="1253" xr:uid="{00000000-0005-0000-0000-0000B7000000}"/>
    <cellStyle name="Comma 11 2 6 2" xfId="3754" xr:uid="{00000000-0005-0000-0000-0000B8000000}"/>
    <cellStyle name="Comma 11 2 7" xfId="3623" xr:uid="{00000000-0005-0000-0000-0000B9000000}"/>
    <cellStyle name="Comma 11 2 8" xfId="2412" xr:uid="{00000000-0005-0000-0000-0000BA000000}"/>
    <cellStyle name="Comma 11 3" xfId="36" xr:uid="{00000000-0005-0000-0000-0000BB000000}"/>
    <cellStyle name="Comma 11 3 2" xfId="37" xr:uid="{00000000-0005-0000-0000-0000BC000000}"/>
    <cellStyle name="Comma 11 3 2 2" xfId="38" xr:uid="{00000000-0005-0000-0000-0000BD000000}"/>
    <cellStyle name="Comma 11 3 2 2 2" xfId="2005" xr:uid="{00000000-0005-0000-0000-0000BE000000}"/>
    <cellStyle name="Comma 11 3 2 2 2 2" xfId="4128" xr:uid="{00000000-0005-0000-0000-0000BF000000}"/>
    <cellStyle name="Comma 11 3 2 2 3" xfId="4502" xr:uid="{00000000-0005-0000-0000-0000C0000000}"/>
    <cellStyle name="Comma 11 3 2 2 4" xfId="3165" xr:uid="{00000000-0005-0000-0000-0000C1000000}"/>
    <cellStyle name="Comma 11 3 2 3" xfId="1431" xr:uid="{00000000-0005-0000-0000-0000C2000000}"/>
    <cellStyle name="Comma 11 3 2 3 2" xfId="4002" xr:uid="{00000000-0005-0000-0000-0000C3000000}"/>
    <cellStyle name="Comma 11 3 2 4" xfId="4374" xr:uid="{00000000-0005-0000-0000-0000C4000000}"/>
    <cellStyle name="Comma 11 3 2 5" xfId="2590" xr:uid="{00000000-0005-0000-0000-0000C5000000}"/>
    <cellStyle name="Comma 11 3 3" xfId="39" xr:uid="{00000000-0005-0000-0000-0000C6000000}"/>
    <cellStyle name="Comma 11 3 3 2" xfId="40" xr:uid="{00000000-0005-0000-0000-0000C7000000}"/>
    <cellStyle name="Comma 11 3 3 2 2" xfId="2141" xr:uid="{00000000-0005-0000-0000-0000C8000000}"/>
    <cellStyle name="Comma 11 3 3 2 2 2" xfId="3874" xr:uid="{00000000-0005-0000-0000-0000C9000000}"/>
    <cellStyle name="Comma 11 3 3 2 3" xfId="4254" xr:uid="{00000000-0005-0000-0000-0000CA000000}"/>
    <cellStyle name="Comma 11 3 3 2 4" xfId="3301" xr:uid="{00000000-0005-0000-0000-0000CB000000}"/>
    <cellStyle name="Comma 11 3 3 3" xfId="1567" xr:uid="{00000000-0005-0000-0000-0000CC000000}"/>
    <cellStyle name="Comma 11 3 3 3 2" xfId="3753" xr:uid="{00000000-0005-0000-0000-0000CD000000}"/>
    <cellStyle name="Comma 11 3 3 4" xfId="3622" xr:uid="{00000000-0005-0000-0000-0000CE000000}"/>
    <cellStyle name="Comma 11 3 3 5" xfId="2726" xr:uid="{00000000-0005-0000-0000-0000CF000000}"/>
    <cellStyle name="Comma 11 3 4" xfId="41" xr:uid="{00000000-0005-0000-0000-0000D0000000}"/>
    <cellStyle name="Comma 11 3 4 2" xfId="42" xr:uid="{00000000-0005-0000-0000-0000D1000000}"/>
    <cellStyle name="Comma 11 3 4 2 2" xfId="2287" xr:uid="{00000000-0005-0000-0000-0000D2000000}"/>
    <cellStyle name="Comma 11 3 4 2 2 2" xfId="4127" xr:uid="{00000000-0005-0000-0000-0000D3000000}"/>
    <cellStyle name="Comma 11 3 4 2 3" xfId="4501" xr:uid="{00000000-0005-0000-0000-0000D4000000}"/>
    <cellStyle name="Comma 11 3 4 2 4" xfId="3447" xr:uid="{00000000-0005-0000-0000-0000D5000000}"/>
    <cellStyle name="Comma 11 3 4 3" xfId="1713" xr:uid="{00000000-0005-0000-0000-0000D6000000}"/>
    <cellStyle name="Comma 11 3 4 3 2" xfId="4001" xr:uid="{00000000-0005-0000-0000-0000D7000000}"/>
    <cellStyle name="Comma 11 3 4 4" xfId="4373" xr:uid="{00000000-0005-0000-0000-0000D8000000}"/>
    <cellStyle name="Comma 11 3 4 5" xfId="2872" xr:uid="{00000000-0005-0000-0000-0000D9000000}"/>
    <cellStyle name="Comma 11 3 5" xfId="43" xr:uid="{00000000-0005-0000-0000-0000DA000000}"/>
    <cellStyle name="Comma 11 3 5 2" xfId="1862" xr:uid="{00000000-0005-0000-0000-0000DB000000}"/>
    <cellStyle name="Comma 11 3 5 2 2" xfId="3873" xr:uid="{00000000-0005-0000-0000-0000DC000000}"/>
    <cellStyle name="Comma 11 3 5 3" xfId="4253" xr:uid="{00000000-0005-0000-0000-0000DD000000}"/>
    <cellStyle name="Comma 11 3 5 4" xfId="3022" xr:uid="{00000000-0005-0000-0000-0000DE000000}"/>
    <cellStyle name="Comma 11 3 6" xfId="1287" xr:uid="{00000000-0005-0000-0000-0000DF000000}"/>
    <cellStyle name="Comma 11 3 6 2" xfId="3752" xr:uid="{00000000-0005-0000-0000-0000E0000000}"/>
    <cellStyle name="Comma 11 3 7" xfId="3621" xr:uid="{00000000-0005-0000-0000-0000E1000000}"/>
    <cellStyle name="Comma 11 3 8" xfId="2446" xr:uid="{00000000-0005-0000-0000-0000E2000000}"/>
    <cellStyle name="Comma 11 4" xfId="44" xr:uid="{00000000-0005-0000-0000-0000E3000000}"/>
    <cellStyle name="Comma 11 4 2" xfId="45" xr:uid="{00000000-0005-0000-0000-0000E4000000}"/>
    <cellStyle name="Comma 11 4 2 2" xfId="1925" xr:uid="{00000000-0005-0000-0000-0000E5000000}"/>
    <cellStyle name="Comma 11 4 2 2 2" xfId="4126" xr:uid="{00000000-0005-0000-0000-0000E6000000}"/>
    <cellStyle name="Comma 11 4 2 3" xfId="4500" xr:uid="{00000000-0005-0000-0000-0000E7000000}"/>
    <cellStyle name="Comma 11 4 2 4" xfId="3085" xr:uid="{00000000-0005-0000-0000-0000E8000000}"/>
    <cellStyle name="Comma 11 4 3" xfId="1350" xr:uid="{00000000-0005-0000-0000-0000E9000000}"/>
    <cellStyle name="Comma 11 4 3 2" xfId="4000" xr:uid="{00000000-0005-0000-0000-0000EA000000}"/>
    <cellStyle name="Comma 11 4 4" xfId="4372" xr:uid="{00000000-0005-0000-0000-0000EB000000}"/>
    <cellStyle name="Comma 11 4 5" xfId="2509" xr:uid="{00000000-0005-0000-0000-0000EC000000}"/>
    <cellStyle name="Comma 11 5" xfId="46" xr:uid="{00000000-0005-0000-0000-0000ED000000}"/>
    <cellStyle name="Comma 11 5 2" xfId="47" xr:uid="{00000000-0005-0000-0000-0000EE000000}"/>
    <cellStyle name="Comma 11 5 2 2" xfId="2060" xr:uid="{00000000-0005-0000-0000-0000EF000000}"/>
    <cellStyle name="Comma 11 5 2 2 2" xfId="3872" xr:uid="{00000000-0005-0000-0000-0000F0000000}"/>
    <cellStyle name="Comma 11 5 2 3" xfId="4252" xr:uid="{00000000-0005-0000-0000-0000F1000000}"/>
    <cellStyle name="Comma 11 5 2 4" xfId="3220" xr:uid="{00000000-0005-0000-0000-0000F2000000}"/>
    <cellStyle name="Comma 11 5 3" xfId="1486" xr:uid="{00000000-0005-0000-0000-0000F3000000}"/>
    <cellStyle name="Comma 11 5 3 2" xfId="3751" xr:uid="{00000000-0005-0000-0000-0000F4000000}"/>
    <cellStyle name="Comma 11 5 4" xfId="3620" xr:uid="{00000000-0005-0000-0000-0000F5000000}"/>
    <cellStyle name="Comma 11 5 5" xfId="2645" xr:uid="{00000000-0005-0000-0000-0000F6000000}"/>
    <cellStyle name="Comma 11 6" xfId="48" xr:uid="{00000000-0005-0000-0000-0000F7000000}"/>
    <cellStyle name="Comma 11 6 2" xfId="49" xr:uid="{00000000-0005-0000-0000-0000F8000000}"/>
    <cellStyle name="Comma 11 6 2 2" xfId="2206" xr:uid="{00000000-0005-0000-0000-0000F9000000}"/>
    <cellStyle name="Comma 11 6 2 2 2" xfId="4089" xr:uid="{00000000-0005-0000-0000-0000FA000000}"/>
    <cellStyle name="Comma 11 6 2 3" xfId="4463" xr:uid="{00000000-0005-0000-0000-0000FB000000}"/>
    <cellStyle name="Comma 11 6 2 4" xfId="3366" xr:uid="{00000000-0005-0000-0000-0000FC000000}"/>
    <cellStyle name="Comma 11 6 3" xfId="1632" xr:uid="{00000000-0005-0000-0000-0000FD000000}"/>
    <cellStyle name="Comma 11 6 3 2" xfId="3963" xr:uid="{00000000-0005-0000-0000-0000FE000000}"/>
    <cellStyle name="Comma 11 6 4" xfId="4335" xr:uid="{00000000-0005-0000-0000-0000FF000000}"/>
    <cellStyle name="Comma 11 6 5" xfId="2791" xr:uid="{00000000-0005-0000-0000-000000010000}"/>
    <cellStyle name="Comma 11 7" xfId="50" xr:uid="{00000000-0005-0000-0000-000001010000}"/>
    <cellStyle name="Comma 11 7 2" xfId="1781" xr:uid="{00000000-0005-0000-0000-000002010000}"/>
    <cellStyle name="Comma 11 7 2 2" xfId="3835" xr:uid="{00000000-0005-0000-0000-000003010000}"/>
    <cellStyle name="Comma 11 7 3" xfId="4215" xr:uid="{00000000-0005-0000-0000-000004010000}"/>
    <cellStyle name="Comma 11 7 4" xfId="2941" xr:uid="{00000000-0005-0000-0000-000005010000}"/>
    <cellStyle name="Comma 11 8" xfId="1206" xr:uid="{00000000-0005-0000-0000-000006010000}"/>
    <cellStyle name="Comma 11 8 2" xfId="3714" xr:uid="{00000000-0005-0000-0000-000007010000}"/>
    <cellStyle name="Comma 11 9" xfId="3583" xr:uid="{00000000-0005-0000-0000-000008010000}"/>
    <cellStyle name="Comma 12" xfId="51" xr:uid="{00000000-0005-0000-0000-000009010000}"/>
    <cellStyle name="Comma 12 10" xfId="2385" xr:uid="{00000000-0005-0000-0000-00000A010000}"/>
    <cellStyle name="Comma 12 2" xfId="52" xr:uid="{00000000-0005-0000-0000-00000B010000}"/>
    <cellStyle name="Comma 12 2 2" xfId="53" xr:uid="{00000000-0005-0000-0000-00000C010000}"/>
    <cellStyle name="Comma 12 2 2 2" xfId="54" xr:uid="{00000000-0005-0000-0000-00000D010000}"/>
    <cellStyle name="Comma 12 2 2 2 2" xfId="1991" xr:uid="{00000000-0005-0000-0000-00000E010000}"/>
    <cellStyle name="Comma 12 2 2 2 2 2" xfId="4052" xr:uid="{00000000-0005-0000-0000-00000F010000}"/>
    <cellStyle name="Comma 12 2 2 2 3" xfId="4426" xr:uid="{00000000-0005-0000-0000-000010010000}"/>
    <cellStyle name="Comma 12 2 2 2 4" xfId="3151" xr:uid="{00000000-0005-0000-0000-000011010000}"/>
    <cellStyle name="Comma 12 2 2 3" xfId="1417" xr:uid="{00000000-0005-0000-0000-000012010000}"/>
    <cellStyle name="Comma 12 2 2 3 2" xfId="3926" xr:uid="{00000000-0005-0000-0000-000013010000}"/>
    <cellStyle name="Comma 12 2 2 4" xfId="4298" xr:uid="{00000000-0005-0000-0000-000014010000}"/>
    <cellStyle name="Comma 12 2 2 5" xfId="2576" xr:uid="{00000000-0005-0000-0000-000015010000}"/>
    <cellStyle name="Comma 12 2 3" xfId="55" xr:uid="{00000000-0005-0000-0000-000016010000}"/>
    <cellStyle name="Comma 12 2 3 2" xfId="56" xr:uid="{00000000-0005-0000-0000-000017010000}"/>
    <cellStyle name="Comma 12 2 3 2 2" xfId="2127" xr:uid="{00000000-0005-0000-0000-000018010000}"/>
    <cellStyle name="Comma 12 2 3 2 2 2" xfId="3798" xr:uid="{00000000-0005-0000-0000-000019010000}"/>
    <cellStyle name="Comma 12 2 3 2 3" xfId="4178" xr:uid="{00000000-0005-0000-0000-00001A010000}"/>
    <cellStyle name="Comma 12 2 3 2 4" xfId="3287" xr:uid="{00000000-0005-0000-0000-00001B010000}"/>
    <cellStyle name="Comma 12 2 3 3" xfId="1553" xr:uid="{00000000-0005-0000-0000-00001C010000}"/>
    <cellStyle name="Comma 12 2 3 3 2" xfId="3677" xr:uid="{00000000-0005-0000-0000-00001D010000}"/>
    <cellStyle name="Comma 12 2 3 4" xfId="3545" xr:uid="{00000000-0005-0000-0000-00001E010000}"/>
    <cellStyle name="Comma 12 2 3 5" xfId="2712" xr:uid="{00000000-0005-0000-0000-00001F010000}"/>
    <cellStyle name="Comma 12 2 4" xfId="57" xr:uid="{00000000-0005-0000-0000-000020010000}"/>
    <cellStyle name="Comma 12 2 4 2" xfId="58" xr:uid="{00000000-0005-0000-0000-000021010000}"/>
    <cellStyle name="Comma 12 2 4 2 2" xfId="2273" xr:uid="{00000000-0005-0000-0000-000022010000}"/>
    <cellStyle name="Comma 12 2 4 2 2 2" xfId="4051" xr:uid="{00000000-0005-0000-0000-000023010000}"/>
    <cellStyle name="Comma 12 2 4 2 3" xfId="4425" xr:uid="{00000000-0005-0000-0000-000024010000}"/>
    <cellStyle name="Comma 12 2 4 2 4" xfId="3433" xr:uid="{00000000-0005-0000-0000-000025010000}"/>
    <cellStyle name="Comma 12 2 4 3" xfId="1699" xr:uid="{00000000-0005-0000-0000-000026010000}"/>
    <cellStyle name="Comma 12 2 4 3 2" xfId="3925" xr:uid="{00000000-0005-0000-0000-000027010000}"/>
    <cellStyle name="Comma 12 2 4 4" xfId="4297" xr:uid="{00000000-0005-0000-0000-000028010000}"/>
    <cellStyle name="Comma 12 2 4 5" xfId="2858" xr:uid="{00000000-0005-0000-0000-000029010000}"/>
    <cellStyle name="Comma 12 2 5" xfId="59" xr:uid="{00000000-0005-0000-0000-00002A010000}"/>
    <cellStyle name="Comma 12 2 5 2" xfId="1848" xr:uid="{00000000-0005-0000-0000-00002B010000}"/>
    <cellStyle name="Comma 12 2 5 2 2" xfId="3797" xr:uid="{00000000-0005-0000-0000-00002C010000}"/>
    <cellStyle name="Comma 12 2 5 3" xfId="4177" xr:uid="{00000000-0005-0000-0000-00002D010000}"/>
    <cellStyle name="Comma 12 2 5 4" xfId="3008" xr:uid="{00000000-0005-0000-0000-00002E010000}"/>
    <cellStyle name="Comma 12 2 6" xfId="1273" xr:uid="{00000000-0005-0000-0000-00002F010000}"/>
    <cellStyle name="Comma 12 2 6 2" xfId="3676" xr:uid="{00000000-0005-0000-0000-000030010000}"/>
    <cellStyle name="Comma 12 2 7" xfId="3544" xr:uid="{00000000-0005-0000-0000-000031010000}"/>
    <cellStyle name="Comma 12 2 8" xfId="2432" xr:uid="{00000000-0005-0000-0000-000032010000}"/>
    <cellStyle name="Comma 12 3" xfId="60" xr:uid="{00000000-0005-0000-0000-000033010000}"/>
    <cellStyle name="Comma 12 3 2" xfId="61" xr:uid="{00000000-0005-0000-0000-000034010000}"/>
    <cellStyle name="Comma 12 3 2 2" xfId="62" xr:uid="{00000000-0005-0000-0000-000035010000}"/>
    <cellStyle name="Comma 12 3 2 2 2" xfId="2006" xr:uid="{00000000-0005-0000-0000-000036010000}"/>
    <cellStyle name="Comma 12 3 2 2 2 2" xfId="4050" xr:uid="{00000000-0005-0000-0000-000037010000}"/>
    <cellStyle name="Comma 12 3 2 2 3" xfId="4424" xr:uid="{00000000-0005-0000-0000-000038010000}"/>
    <cellStyle name="Comma 12 3 2 2 4" xfId="3166" xr:uid="{00000000-0005-0000-0000-000039010000}"/>
    <cellStyle name="Comma 12 3 2 3" xfId="1432" xr:uid="{00000000-0005-0000-0000-00003A010000}"/>
    <cellStyle name="Comma 12 3 2 3 2" xfId="3924" xr:uid="{00000000-0005-0000-0000-00003B010000}"/>
    <cellStyle name="Comma 12 3 2 4" xfId="4296" xr:uid="{00000000-0005-0000-0000-00003C010000}"/>
    <cellStyle name="Comma 12 3 2 5" xfId="2591" xr:uid="{00000000-0005-0000-0000-00003D010000}"/>
    <cellStyle name="Comma 12 3 3" xfId="63" xr:uid="{00000000-0005-0000-0000-00003E010000}"/>
    <cellStyle name="Comma 12 3 3 2" xfId="64" xr:uid="{00000000-0005-0000-0000-00003F010000}"/>
    <cellStyle name="Comma 12 3 3 2 2" xfId="2142" xr:uid="{00000000-0005-0000-0000-000040010000}"/>
    <cellStyle name="Comma 12 3 3 2 2 2" xfId="3796" xr:uid="{00000000-0005-0000-0000-000041010000}"/>
    <cellStyle name="Comma 12 3 3 2 3" xfId="4176" xr:uid="{00000000-0005-0000-0000-000042010000}"/>
    <cellStyle name="Comma 12 3 3 2 4" xfId="3302" xr:uid="{00000000-0005-0000-0000-000043010000}"/>
    <cellStyle name="Comma 12 3 3 3" xfId="1568" xr:uid="{00000000-0005-0000-0000-000044010000}"/>
    <cellStyle name="Comma 12 3 3 3 2" xfId="3675" xr:uid="{00000000-0005-0000-0000-000045010000}"/>
    <cellStyle name="Comma 12 3 3 4" xfId="3542" xr:uid="{00000000-0005-0000-0000-000046010000}"/>
    <cellStyle name="Comma 12 3 3 5" xfId="2727" xr:uid="{00000000-0005-0000-0000-000047010000}"/>
    <cellStyle name="Comma 12 3 4" xfId="65" xr:uid="{00000000-0005-0000-0000-000048010000}"/>
    <cellStyle name="Comma 12 3 4 2" xfId="66" xr:uid="{00000000-0005-0000-0000-000049010000}"/>
    <cellStyle name="Comma 12 3 4 2 2" xfId="2288" xr:uid="{00000000-0005-0000-0000-00004A010000}"/>
    <cellStyle name="Comma 12 3 4 2 2 2" xfId="4049" xr:uid="{00000000-0005-0000-0000-00004B010000}"/>
    <cellStyle name="Comma 12 3 4 2 3" xfId="4423" xr:uid="{00000000-0005-0000-0000-00004C010000}"/>
    <cellStyle name="Comma 12 3 4 2 4" xfId="3448" xr:uid="{00000000-0005-0000-0000-00004D010000}"/>
    <cellStyle name="Comma 12 3 4 3" xfId="1714" xr:uid="{00000000-0005-0000-0000-00004E010000}"/>
    <cellStyle name="Comma 12 3 4 3 2" xfId="3923" xr:uid="{00000000-0005-0000-0000-00004F010000}"/>
    <cellStyle name="Comma 12 3 4 4" xfId="4295" xr:uid="{00000000-0005-0000-0000-000050010000}"/>
    <cellStyle name="Comma 12 3 4 5" xfId="2873" xr:uid="{00000000-0005-0000-0000-000051010000}"/>
    <cellStyle name="Comma 12 3 5" xfId="67" xr:uid="{00000000-0005-0000-0000-000052010000}"/>
    <cellStyle name="Comma 12 3 5 2" xfId="1863" xr:uid="{00000000-0005-0000-0000-000053010000}"/>
    <cellStyle name="Comma 12 3 5 2 2" xfId="3795" xr:uid="{00000000-0005-0000-0000-000054010000}"/>
    <cellStyle name="Comma 12 3 5 3" xfId="4175" xr:uid="{00000000-0005-0000-0000-000055010000}"/>
    <cellStyle name="Comma 12 3 5 4" xfId="3023" xr:uid="{00000000-0005-0000-0000-000056010000}"/>
    <cellStyle name="Comma 12 3 6" xfId="1288" xr:uid="{00000000-0005-0000-0000-000057010000}"/>
    <cellStyle name="Comma 12 3 6 2" xfId="3674" xr:uid="{00000000-0005-0000-0000-000058010000}"/>
    <cellStyle name="Comma 12 3 7" xfId="3541" xr:uid="{00000000-0005-0000-0000-000059010000}"/>
    <cellStyle name="Comma 12 3 8" xfId="2447" xr:uid="{00000000-0005-0000-0000-00005A010000}"/>
    <cellStyle name="Comma 12 4" xfId="68" xr:uid="{00000000-0005-0000-0000-00005B010000}"/>
    <cellStyle name="Comma 12 4 2" xfId="69" xr:uid="{00000000-0005-0000-0000-00005C010000}"/>
    <cellStyle name="Comma 12 4 2 2" xfId="1945" xr:uid="{00000000-0005-0000-0000-00005D010000}"/>
    <cellStyle name="Comma 12 4 2 2 2" xfId="3504" xr:uid="{00000000-0005-0000-0000-00005E010000}"/>
    <cellStyle name="Comma 12 4 2 3" xfId="4512" xr:uid="{00000000-0005-0000-0000-00005F010000}"/>
    <cellStyle name="Comma 12 4 2 4" xfId="3105" xr:uid="{00000000-0005-0000-0000-000060010000}"/>
    <cellStyle name="Comma 12 4 3" xfId="1370" xr:uid="{00000000-0005-0000-0000-000061010000}"/>
    <cellStyle name="Comma 12 4 3 2" xfId="4511" xr:uid="{00000000-0005-0000-0000-000062010000}"/>
    <cellStyle name="Comma 12 4 4" xfId="4510" xr:uid="{00000000-0005-0000-0000-000063010000}"/>
    <cellStyle name="Comma 12 4 5" xfId="2529" xr:uid="{00000000-0005-0000-0000-000064010000}"/>
    <cellStyle name="Comma 12 5" xfId="70" xr:uid="{00000000-0005-0000-0000-000065010000}"/>
    <cellStyle name="Comma 12 5 2" xfId="71" xr:uid="{00000000-0005-0000-0000-000066010000}"/>
    <cellStyle name="Comma 12 5 2 2" xfId="2080" xr:uid="{00000000-0005-0000-0000-000067010000}"/>
    <cellStyle name="Comma 12 5 2 2 2" xfId="4011" xr:uid="{00000000-0005-0000-0000-000068010000}"/>
    <cellStyle name="Comma 12 5 2 3" xfId="4132" xr:uid="{00000000-0005-0000-0000-000069010000}"/>
    <cellStyle name="Comma 12 5 2 4" xfId="3240" xr:uid="{00000000-0005-0000-0000-00006A010000}"/>
    <cellStyle name="Comma 12 5 3" xfId="1506" xr:uid="{00000000-0005-0000-0000-00006B010000}"/>
    <cellStyle name="Comma 12 5 3 2" xfId="4506" xr:uid="{00000000-0005-0000-0000-00006C010000}"/>
    <cellStyle name="Comma 12 5 4" xfId="4006" xr:uid="{00000000-0005-0000-0000-00006D010000}"/>
    <cellStyle name="Comma 12 5 5" xfId="2665" xr:uid="{00000000-0005-0000-0000-00006E010000}"/>
    <cellStyle name="Comma 12 6" xfId="72" xr:uid="{00000000-0005-0000-0000-00006F010000}"/>
    <cellStyle name="Comma 12 6 2" xfId="73" xr:uid="{00000000-0005-0000-0000-000070010000}"/>
    <cellStyle name="Comma 12 6 2 2" xfId="2226" xr:uid="{00000000-0005-0000-0000-000071010000}"/>
    <cellStyle name="Comma 12 6 2 2 2" xfId="4378" xr:uid="{00000000-0005-0000-0000-000072010000}"/>
    <cellStyle name="Comma 12 6 2 3" xfId="3878" xr:uid="{00000000-0005-0000-0000-000073010000}"/>
    <cellStyle name="Comma 12 6 2 4" xfId="3386" xr:uid="{00000000-0005-0000-0000-000074010000}"/>
    <cellStyle name="Comma 12 6 3" xfId="1652" xr:uid="{00000000-0005-0000-0000-000075010000}"/>
    <cellStyle name="Comma 12 6 3 2" xfId="4258" xr:uid="{00000000-0005-0000-0000-000076010000}"/>
    <cellStyle name="Comma 12 6 4" xfId="3757" xr:uid="{00000000-0005-0000-0000-000077010000}"/>
    <cellStyle name="Comma 12 6 5" xfId="2811" xr:uid="{00000000-0005-0000-0000-000078010000}"/>
    <cellStyle name="Comma 12 7" xfId="74" xr:uid="{00000000-0005-0000-0000-000079010000}"/>
    <cellStyle name="Comma 12 7 2" xfId="1801" xr:uid="{00000000-0005-0000-0000-00007A010000}"/>
    <cellStyle name="Comma 12 7 2 2" xfId="3626" xr:uid="{00000000-0005-0000-0000-00007B010000}"/>
    <cellStyle name="Comma 12 7 3" xfId="4012" xr:uid="{00000000-0005-0000-0000-00007C010000}"/>
    <cellStyle name="Comma 12 7 4" xfId="2961" xr:uid="{00000000-0005-0000-0000-00007D010000}"/>
    <cellStyle name="Comma 12 8" xfId="1226" xr:uid="{00000000-0005-0000-0000-00007E010000}"/>
    <cellStyle name="Comma 12 8 2" xfId="4021" xr:uid="{00000000-0005-0000-0000-00007F010000}"/>
    <cellStyle name="Comma 12 9" xfId="4395" xr:uid="{00000000-0005-0000-0000-000080010000}"/>
    <cellStyle name="Comma 13" xfId="75" xr:uid="{00000000-0005-0000-0000-000081010000}"/>
    <cellStyle name="Comma 13 10" xfId="2366" xr:uid="{00000000-0005-0000-0000-000082010000}"/>
    <cellStyle name="Comma 13 2" xfId="76" xr:uid="{00000000-0005-0000-0000-000083010000}"/>
    <cellStyle name="Comma 13 2 2" xfId="77" xr:uid="{00000000-0005-0000-0000-000084010000}"/>
    <cellStyle name="Comma 13 2 2 2" xfId="78" xr:uid="{00000000-0005-0000-0000-000085010000}"/>
    <cellStyle name="Comma 13 2 2 2 2" xfId="1972" xr:uid="{00000000-0005-0000-0000-000086010000}"/>
    <cellStyle name="Comma 13 2 2 2 2 2" xfId="3895" xr:uid="{00000000-0005-0000-0000-000087010000}"/>
    <cellStyle name="Comma 13 2 2 2 3" xfId="4267" xr:uid="{00000000-0005-0000-0000-000088010000}"/>
    <cellStyle name="Comma 13 2 2 2 4" xfId="3132" xr:uid="{00000000-0005-0000-0000-000089010000}"/>
    <cellStyle name="Comma 13 2 2 3" xfId="1398" xr:uid="{00000000-0005-0000-0000-00008A010000}"/>
    <cellStyle name="Comma 13 2 2 3 2" xfId="3767" xr:uid="{00000000-0005-0000-0000-00008B010000}"/>
    <cellStyle name="Comma 13 2 2 4" xfId="4148" xr:uid="{00000000-0005-0000-0000-00008C010000}"/>
    <cellStyle name="Comma 13 2 2 5" xfId="2557" xr:uid="{00000000-0005-0000-0000-00008D010000}"/>
    <cellStyle name="Comma 13 2 3" xfId="79" xr:uid="{00000000-0005-0000-0000-00008E010000}"/>
    <cellStyle name="Comma 13 2 3 2" xfId="80" xr:uid="{00000000-0005-0000-0000-00008F010000}"/>
    <cellStyle name="Comma 13 2 3 2 2" xfId="2108" xr:uid="{00000000-0005-0000-0000-000090010000}"/>
    <cellStyle name="Comma 13 2 3 2 2 2" xfId="3646" xr:uid="{00000000-0005-0000-0000-000091010000}"/>
    <cellStyle name="Comma 13 2 3 2 3" xfId="4124" xr:uid="{00000000-0005-0000-0000-000092010000}"/>
    <cellStyle name="Comma 13 2 3 2 4" xfId="3268" xr:uid="{00000000-0005-0000-0000-000093010000}"/>
    <cellStyle name="Comma 13 2 3 3" xfId="1534" xr:uid="{00000000-0005-0000-0000-000094010000}"/>
    <cellStyle name="Comma 13 2 3 3 2" xfId="4498" xr:uid="{00000000-0005-0000-0000-000095010000}"/>
    <cellStyle name="Comma 13 2 3 4" xfId="3998" xr:uid="{00000000-0005-0000-0000-000096010000}"/>
    <cellStyle name="Comma 13 2 3 5" xfId="2693" xr:uid="{00000000-0005-0000-0000-000097010000}"/>
    <cellStyle name="Comma 13 2 4" xfId="81" xr:uid="{00000000-0005-0000-0000-000098010000}"/>
    <cellStyle name="Comma 13 2 4 2" xfId="82" xr:uid="{00000000-0005-0000-0000-000099010000}"/>
    <cellStyle name="Comma 13 2 4 2 2" xfId="2254" xr:uid="{00000000-0005-0000-0000-00009A010000}"/>
    <cellStyle name="Comma 13 2 4 2 2 2" xfId="4370" xr:uid="{00000000-0005-0000-0000-00009B010000}"/>
    <cellStyle name="Comma 13 2 4 2 3" xfId="3870" xr:uid="{00000000-0005-0000-0000-00009C010000}"/>
    <cellStyle name="Comma 13 2 4 2 4" xfId="3414" xr:uid="{00000000-0005-0000-0000-00009D010000}"/>
    <cellStyle name="Comma 13 2 4 3" xfId="1680" xr:uid="{00000000-0005-0000-0000-00009E010000}"/>
    <cellStyle name="Comma 13 2 4 3 2" xfId="4250" xr:uid="{00000000-0005-0000-0000-00009F010000}"/>
    <cellStyle name="Comma 13 2 4 4" xfId="3749" xr:uid="{00000000-0005-0000-0000-0000A0010000}"/>
    <cellStyle name="Comma 13 2 4 5" xfId="2839" xr:uid="{00000000-0005-0000-0000-0000A1010000}"/>
    <cellStyle name="Comma 13 2 5" xfId="83" xr:uid="{00000000-0005-0000-0000-0000A2010000}"/>
    <cellStyle name="Comma 13 2 5 2" xfId="1829" xr:uid="{00000000-0005-0000-0000-0000A3010000}"/>
    <cellStyle name="Comma 13 2 5 2 2" xfId="3618" xr:uid="{00000000-0005-0000-0000-0000A4010000}"/>
    <cellStyle name="Comma 13 2 5 3" xfId="4061" xr:uid="{00000000-0005-0000-0000-0000A5010000}"/>
    <cellStyle name="Comma 13 2 5 4" xfId="2989" xr:uid="{00000000-0005-0000-0000-0000A6010000}"/>
    <cellStyle name="Comma 13 2 6" xfId="1254" xr:uid="{00000000-0005-0000-0000-0000A7010000}"/>
    <cellStyle name="Comma 13 2 6 2" xfId="4435" xr:uid="{00000000-0005-0000-0000-0000A8010000}"/>
    <cellStyle name="Comma 13 2 7" xfId="3935" xr:uid="{00000000-0005-0000-0000-0000A9010000}"/>
    <cellStyle name="Comma 13 2 8" xfId="2413" xr:uid="{00000000-0005-0000-0000-0000AA010000}"/>
    <cellStyle name="Comma 13 3" xfId="84" xr:uid="{00000000-0005-0000-0000-0000AB010000}"/>
    <cellStyle name="Comma 13 3 2" xfId="85" xr:uid="{00000000-0005-0000-0000-0000AC010000}"/>
    <cellStyle name="Comma 13 3 2 2" xfId="86" xr:uid="{00000000-0005-0000-0000-0000AD010000}"/>
    <cellStyle name="Comma 13 3 2 2 2" xfId="2007" xr:uid="{00000000-0005-0000-0000-0000AE010000}"/>
    <cellStyle name="Comma 13 3 2 2 2 2" xfId="4307" xr:uid="{00000000-0005-0000-0000-0000AF010000}"/>
    <cellStyle name="Comma 13 3 2 2 3" xfId="3807" xr:uid="{00000000-0005-0000-0000-0000B0010000}"/>
    <cellStyle name="Comma 13 3 2 2 4" xfId="3167" xr:uid="{00000000-0005-0000-0000-0000B1010000}"/>
    <cellStyle name="Comma 13 3 2 3" xfId="1433" xr:uid="{00000000-0005-0000-0000-0000B2010000}"/>
    <cellStyle name="Comma 13 3 2 3 2" xfId="4187" xr:uid="{00000000-0005-0000-0000-0000B3010000}"/>
    <cellStyle name="Comma 13 3 2 4" xfId="3686" xr:uid="{00000000-0005-0000-0000-0000B4010000}"/>
    <cellStyle name="Comma 13 3 2 5" xfId="2592" xr:uid="{00000000-0005-0000-0000-0000B5010000}"/>
    <cellStyle name="Comma 13 3 3" xfId="87" xr:uid="{00000000-0005-0000-0000-0000B6010000}"/>
    <cellStyle name="Comma 13 3 3 2" xfId="88" xr:uid="{00000000-0005-0000-0000-0000B7010000}"/>
    <cellStyle name="Comma 13 3 3 2 2" xfId="2143" xr:uid="{00000000-0005-0000-0000-0000B8010000}"/>
    <cellStyle name="Comma 13 3 3 2 2 2" xfId="3555" xr:uid="{00000000-0005-0000-0000-0000B9010000}"/>
    <cellStyle name="Comma 13 3 3 2 3" xfId="3513" xr:uid="{00000000-0005-0000-0000-0000BA010000}"/>
    <cellStyle name="Comma 13 3 3 2 4" xfId="3303" xr:uid="{00000000-0005-0000-0000-0000BB010000}"/>
    <cellStyle name="Comma 13 3 3 3" xfId="1569" xr:uid="{00000000-0005-0000-0000-0000BC010000}"/>
    <cellStyle name="Comma 13 3 3 3 2" xfId="4020" xr:uid="{00000000-0005-0000-0000-0000BD010000}"/>
    <cellStyle name="Comma 13 3 3 4" xfId="4394" xr:uid="{00000000-0005-0000-0000-0000BE010000}"/>
    <cellStyle name="Comma 13 3 3 5" xfId="2728" xr:uid="{00000000-0005-0000-0000-0000BF010000}"/>
    <cellStyle name="Comma 13 3 4" xfId="89" xr:uid="{00000000-0005-0000-0000-0000C0010000}"/>
    <cellStyle name="Comma 13 3 4 2" xfId="90" xr:uid="{00000000-0005-0000-0000-0000C1010000}"/>
    <cellStyle name="Comma 13 3 4 2 2" xfId="2289" xr:uid="{00000000-0005-0000-0000-0000C2010000}"/>
    <cellStyle name="Comma 13 3 4 2 2 2" xfId="3894" xr:uid="{00000000-0005-0000-0000-0000C3010000}"/>
    <cellStyle name="Comma 13 3 4 2 3" xfId="4266" xr:uid="{00000000-0005-0000-0000-0000C4010000}"/>
    <cellStyle name="Comma 13 3 4 2 4" xfId="3449" xr:uid="{00000000-0005-0000-0000-0000C5010000}"/>
    <cellStyle name="Comma 13 3 4 3" xfId="1715" xr:uid="{00000000-0005-0000-0000-0000C6010000}"/>
    <cellStyle name="Comma 13 3 4 3 2" xfId="3766" xr:uid="{00000000-0005-0000-0000-0000C7010000}"/>
    <cellStyle name="Comma 13 3 4 4" xfId="4147" xr:uid="{00000000-0005-0000-0000-0000C8010000}"/>
    <cellStyle name="Comma 13 3 4 5" xfId="2874" xr:uid="{00000000-0005-0000-0000-0000C9010000}"/>
    <cellStyle name="Comma 13 3 5" xfId="91" xr:uid="{00000000-0005-0000-0000-0000CA010000}"/>
    <cellStyle name="Comma 13 3 5 2" xfId="1864" xr:uid="{00000000-0005-0000-0000-0000CB010000}"/>
    <cellStyle name="Comma 13 3 5 2 2" xfId="3645" xr:uid="{00000000-0005-0000-0000-0000CC010000}"/>
    <cellStyle name="Comma 13 3 5 3" xfId="4123" xr:uid="{00000000-0005-0000-0000-0000CD010000}"/>
    <cellStyle name="Comma 13 3 5 4" xfId="3024" xr:uid="{00000000-0005-0000-0000-0000CE010000}"/>
    <cellStyle name="Comma 13 3 6" xfId="1289" xr:uid="{00000000-0005-0000-0000-0000CF010000}"/>
    <cellStyle name="Comma 13 3 6 2" xfId="4497" xr:uid="{00000000-0005-0000-0000-0000D0010000}"/>
    <cellStyle name="Comma 13 3 7" xfId="3997" xr:uid="{00000000-0005-0000-0000-0000D1010000}"/>
    <cellStyle name="Comma 13 3 8" xfId="2448" xr:uid="{00000000-0005-0000-0000-0000D2010000}"/>
    <cellStyle name="Comma 13 4" xfId="92" xr:uid="{00000000-0005-0000-0000-0000D3010000}"/>
    <cellStyle name="Comma 13 4 2" xfId="93" xr:uid="{00000000-0005-0000-0000-0000D4010000}"/>
    <cellStyle name="Comma 13 4 2 2" xfId="1926" xr:uid="{00000000-0005-0000-0000-0000D5010000}"/>
    <cellStyle name="Comma 13 4 2 2 2" xfId="4369" xr:uid="{00000000-0005-0000-0000-0000D6010000}"/>
    <cellStyle name="Comma 13 4 2 3" xfId="3869" xr:uid="{00000000-0005-0000-0000-0000D7010000}"/>
    <cellStyle name="Comma 13 4 2 4" xfId="3086" xr:uid="{00000000-0005-0000-0000-0000D8010000}"/>
    <cellStyle name="Comma 13 4 3" xfId="1351" xr:uid="{00000000-0005-0000-0000-0000D9010000}"/>
    <cellStyle name="Comma 13 4 3 2" xfId="4249" xr:uid="{00000000-0005-0000-0000-0000DA010000}"/>
    <cellStyle name="Comma 13 4 4" xfId="3748" xr:uid="{00000000-0005-0000-0000-0000DB010000}"/>
    <cellStyle name="Comma 13 4 5" xfId="2510" xr:uid="{00000000-0005-0000-0000-0000DC010000}"/>
    <cellStyle name="Comma 13 5" xfId="94" xr:uid="{00000000-0005-0000-0000-0000DD010000}"/>
    <cellStyle name="Comma 13 5 2" xfId="95" xr:uid="{00000000-0005-0000-0000-0000DE010000}"/>
    <cellStyle name="Comma 13 5 2 2" xfId="2061" xr:uid="{00000000-0005-0000-0000-0000DF010000}"/>
    <cellStyle name="Comma 13 5 2 2 2" xfId="3617" xr:uid="{00000000-0005-0000-0000-0000E0010000}"/>
    <cellStyle name="Comma 13 5 2 3" xfId="4060" xr:uid="{00000000-0005-0000-0000-0000E1010000}"/>
    <cellStyle name="Comma 13 5 2 4" xfId="3221" xr:uid="{00000000-0005-0000-0000-0000E2010000}"/>
    <cellStyle name="Comma 13 5 3" xfId="1487" xr:uid="{00000000-0005-0000-0000-0000E3010000}"/>
    <cellStyle name="Comma 13 5 3 2" xfId="4434" xr:uid="{00000000-0005-0000-0000-0000E4010000}"/>
    <cellStyle name="Comma 13 5 4" xfId="3934" xr:uid="{00000000-0005-0000-0000-0000E5010000}"/>
    <cellStyle name="Comma 13 5 5" xfId="2646" xr:uid="{00000000-0005-0000-0000-0000E6010000}"/>
    <cellStyle name="Comma 13 6" xfId="96" xr:uid="{00000000-0005-0000-0000-0000E7010000}"/>
    <cellStyle name="Comma 13 6 2" xfId="97" xr:uid="{00000000-0005-0000-0000-0000E8010000}"/>
    <cellStyle name="Comma 13 6 2 2" xfId="2207" xr:uid="{00000000-0005-0000-0000-0000E9010000}"/>
    <cellStyle name="Comma 13 6 2 2 2" xfId="4306" xr:uid="{00000000-0005-0000-0000-0000EA010000}"/>
    <cellStyle name="Comma 13 6 2 3" xfId="3806" xr:uid="{00000000-0005-0000-0000-0000EB010000}"/>
    <cellStyle name="Comma 13 6 2 4" xfId="3367" xr:uid="{00000000-0005-0000-0000-0000EC010000}"/>
    <cellStyle name="Comma 13 6 3" xfId="1633" xr:uid="{00000000-0005-0000-0000-0000ED010000}"/>
    <cellStyle name="Comma 13 6 3 2" xfId="4186" xr:uid="{00000000-0005-0000-0000-0000EE010000}"/>
    <cellStyle name="Comma 13 6 4" xfId="3685" xr:uid="{00000000-0005-0000-0000-0000EF010000}"/>
    <cellStyle name="Comma 13 6 5" xfId="2792" xr:uid="{00000000-0005-0000-0000-0000F0010000}"/>
    <cellStyle name="Comma 13 7" xfId="98" xr:uid="{00000000-0005-0000-0000-0000F1010000}"/>
    <cellStyle name="Comma 13 7 2" xfId="1782" xr:uid="{00000000-0005-0000-0000-0000F2010000}"/>
    <cellStyle name="Comma 13 7 2 2" xfId="3554" xr:uid="{00000000-0005-0000-0000-0000F3010000}"/>
    <cellStyle name="Comma 13 7 3" xfId="3512" xr:uid="{00000000-0005-0000-0000-0000F4010000}"/>
    <cellStyle name="Comma 13 7 4" xfId="2942" xr:uid="{00000000-0005-0000-0000-0000F5010000}"/>
    <cellStyle name="Comma 13 8" xfId="1207" xr:uid="{00000000-0005-0000-0000-0000F6010000}"/>
    <cellStyle name="Comma 13 8 2" xfId="4019" xr:uid="{00000000-0005-0000-0000-0000F7010000}"/>
    <cellStyle name="Comma 13 9" xfId="4393" xr:uid="{00000000-0005-0000-0000-0000F8010000}"/>
    <cellStyle name="Comma 14" xfId="99" xr:uid="{00000000-0005-0000-0000-0000F9010000}"/>
    <cellStyle name="Comma 14 10" xfId="2367" xr:uid="{00000000-0005-0000-0000-0000FA010000}"/>
    <cellStyle name="Comma 14 2" xfId="100" xr:uid="{00000000-0005-0000-0000-0000FB010000}"/>
    <cellStyle name="Comma 14 2 2" xfId="101" xr:uid="{00000000-0005-0000-0000-0000FC010000}"/>
    <cellStyle name="Comma 14 2 2 2" xfId="102" xr:uid="{00000000-0005-0000-0000-0000FD010000}"/>
    <cellStyle name="Comma 14 2 2 2 2" xfId="1973" xr:uid="{00000000-0005-0000-0000-0000FE010000}"/>
    <cellStyle name="Comma 14 2 2 2 2 2" xfId="3893" xr:uid="{00000000-0005-0000-0000-0000FF010000}"/>
    <cellStyle name="Comma 14 2 2 2 3" xfId="4265" xr:uid="{00000000-0005-0000-0000-000000020000}"/>
    <cellStyle name="Comma 14 2 2 2 4" xfId="3133" xr:uid="{00000000-0005-0000-0000-000001020000}"/>
    <cellStyle name="Comma 14 2 2 3" xfId="1399" xr:uid="{00000000-0005-0000-0000-000002020000}"/>
    <cellStyle name="Comma 14 2 2 3 2" xfId="3765" xr:uid="{00000000-0005-0000-0000-000003020000}"/>
    <cellStyle name="Comma 14 2 2 4" xfId="4146" xr:uid="{00000000-0005-0000-0000-000004020000}"/>
    <cellStyle name="Comma 14 2 2 5" xfId="2558" xr:uid="{00000000-0005-0000-0000-000005020000}"/>
    <cellStyle name="Comma 14 2 3" xfId="103" xr:uid="{00000000-0005-0000-0000-000006020000}"/>
    <cellStyle name="Comma 14 2 3 2" xfId="104" xr:uid="{00000000-0005-0000-0000-000007020000}"/>
    <cellStyle name="Comma 14 2 3 2 2" xfId="2109" xr:uid="{00000000-0005-0000-0000-000008020000}"/>
    <cellStyle name="Comma 14 2 3 2 2 2" xfId="3644" xr:uid="{00000000-0005-0000-0000-000009020000}"/>
    <cellStyle name="Comma 14 2 3 2 3" xfId="4122" xr:uid="{00000000-0005-0000-0000-00000A020000}"/>
    <cellStyle name="Comma 14 2 3 2 4" xfId="3269" xr:uid="{00000000-0005-0000-0000-00000B020000}"/>
    <cellStyle name="Comma 14 2 3 3" xfId="1535" xr:uid="{00000000-0005-0000-0000-00000C020000}"/>
    <cellStyle name="Comma 14 2 3 3 2" xfId="4496" xr:uid="{00000000-0005-0000-0000-00000D020000}"/>
    <cellStyle name="Comma 14 2 3 4" xfId="3996" xr:uid="{00000000-0005-0000-0000-00000E020000}"/>
    <cellStyle name="Comma 14 2 3 5" xfId="2694" xr:uid="{00000000-0005-0000-0000-00000F020000}"/>
    <cellStyle name="Comma 14 2 4" xfId="105" xr:uid="{00000000-0005-0000-0000-000010020000}"/>
    <cellStyle name="Comma 14 2 4 2" xfId="106" xr:uid="{00000000-0005-0000-0000-000011020000}"/>
    <cellStyle name="Comma 14 2 4 2 2" xfId="2255" xr:uid="{00000000-0005-0000-0000-000012020000}"/>
    <cellStyle name="Comma 14 2 4 2 2 2" xfId="4368" xr:uid="{00000000-0005-0000-0000-000013020000}"/>
    <cellStyle name="Comma 14 2 4 2 3" xfId="3868" xr:uid="{00000000-0005-0000-0000-000014020000}"/>
    <cellStyle name="Comma 14 2 4 2 4" xfId="3415" xr:uid="{00000000-0005-0000-0000-000015020000}"/>
    <cellStyle name="Comma 14 2 4 3" xfId="1681" xr:uid="{00000000-0005-0000-0000-000016020000}"/>
    <cellStyle name="Comma 14 2 4 3 2" xfId="4248" xr:uid="{00000000-0005-0000-0000-000017020000}"/>
    <cellStyle name="Comma 14 2 4 4" xfId="3747" xr:uid="{00000000-0005-0000-0000-000018020000}"/>
    <cellStyle name="Comma 14 2 4 5" xfId="2840" xr:uid="{00000000-0005-0000-0000-000019020000}"/>
    <cellStyle name="Comma 14 2 5" xfId="107" xr:uid="{00000000-0005-0000-0000-00001A020000}"/>
    <cellStyle name="Comma 14 2 5 2" xfId="1830" xr:uid="{00000000-0005-0000-0000-00001B020000}"/>
    <cellStyle name="Comma 14 2 5 2 2" xfId="3616" xr:uid="{00000000-0005-0000-0000-00001C020000}"/>
    <cellStyle name="Comma 14 2 5 3" xfId="4059" xr:uid="{00000000-0005-0000-0000-00001D020000}"/>
    <cellStyle name="Comma 14 2 5 4" xfId="2990" xr:uid="{00000000-0005-0000-0000-00001E020000}"/>
    <cellStyle name="Comma 14 2 6" xfId="1255" xr:uid="{00000000-0005-0000-0000-00001F020000}"/>
    <cellStyle name="Comma 14 2 6 2" xfId="4433" xr:uid="{00000000-0005-0000-0000-000020020000}"/>
    <cellStyle name="Comma 14 2 7" xfId="3933" xr:uid="{00000000-0005-0000-0000-000021020000}"/>
    <cellStyle name="Comma 14 2 8" xfId="2414" xr:uid="{00000000-0005-0000-0000-000022020000}"/>
    <cellStyle name="Comma 14 3" xfId="108" xr:uid="{00000000-0005-0000-0000-000023020000}"/>
    <cellStyle name="Comma 14 3 2" xfId="109" xr:uid="{00000000-0005-0000-0000-000024020000}"/>
    <cellStyle name="Comma 14 3 2 2" xfId="110" xr:uid="{00000000-0005-0000-0000-000025020000}"/>
    <cellStyle name="Comma 14 3 2 2 2" xfId="2008" xr:uid="{00000000-0005-0000-0000-000026020000}"/>
    <cellStyle name="Comma 14 3 2 2 2 2" xfId="4305" xr:uid="{00000000-0005-0000-0000-000027020000}"/>
    <cellStyle name="Comma 14 3 2 2 3" xfId="3805" xr:uid="{00000000-0005-0000-0000-000028020000}"/>
    <cellStyle name="Comma 14 3 2 2 4" xfId="3168" xr:uid="{00000000-0005-0000-0000-000029020000}"/>
    <cellStyle name="Comma 14 3 2 3" xfId="1434" xr:uid="{00000000-0005-0000-0000-00002A020000}"/>
    <cellStyle name="Comma 14 3 2 3 2" xfId="4185" xr:uid="{00000000-0005-0000-0000-00002B020000}"/>
    <cellStyle name="Comma 14 3 2 4" xfId="3684" xr:uid="{00000000-0005-0000-0000-00002C020000}"/>
    <cellStyle name="Comma 14 3 2 5" xfId="2593" xr:uid="{00000000-0005-0000-0000-00002D020000}"/>
    <cellStyle name="Comma 14 3 3" xfId="111" xr:uid="{00000000-0005-0000-0000-00002E020000}"/>
    <cellStyle name="Comma 14 3 3 2" xfId="112" xr:uid="{00000000-0005-0000-0000-00002F020000}"/>
    <cellStyle name="Comma 14 3 3 2 2" xfId="2144" xr:uid="{00000000-0005-0000-0000-000030020000}"/>
    <cellStyle name="Comma 14 3 3 2 2 2" xfId="3553" xr:uid="{00000000-0005-0000-0000-000031020000}"/>
    <cellStyle name="Comma 14 3 3 2 3" xfId="3511" xr:uid="{00000000-0005-0000-0000-000032020000}"/>
    <cellStyle name="Comma 14 3 3 2 4" xfId="3304" xr:uid="{00000000-0005-0000-0000-000033020000}"/>
    <cellStyle name="Comma 14 3 3 3" xfId="1570" xr:uid="{00000000-0005-0000-0000-000034020000}"/>
    <cellStyle name="Comma 14 3 3 3 2" xfId="4018" xr:uid="{00000000-0005-0000-0000-000035020000}"/>
    <cellStyle name="Comma 14 3 3 4" xfId="4392" xr:uid="{00000000-0005-0000-0000-000036020000}"/>
    <cellStyle name="Comma 14 3 3 5" xfId="2729" xr:uid="{00000000-0005-0000-0000-000037020000}"/>
    <cellStyle name="Comma 14 3 4" xfId="113" xr:uid="{00000000-0005-0000-0000-000038020000}"/>
    <cellStyle name="Comma 14 3 4 2" xfId="114" xr:uid="{00000000-0005-0000-0000-000039020000}"/>
    <cellStyle name="Comma 14 3 4 2 2" xfId="2290" xr:uid="{00000000-0005-0000-0000-00003A020000}"/>
    <cellStyle name="Comma 14 3 4 2 2 2" xfId="3892" xr:uid="{00000000-0005-0000-0000-00003B020000}"/>
    <cellStyle name="Comma 14 3 4 2 3" xfId="4264" xr:uid="{00000000-0005-0000-0000-00003C020000}"/>
    <cellStyle name="Comma 14 3 4 2 4" xfId="3450" xr:uid="{00000000-0005-0000-0000-00003D020000}"/>
    <cellStyle name="Comma 14 3 4 3" xfId="1716" xr:uid="{00000000-0005-0000-0000-00003E020000}"/>
    <cellStyle name="Comma 14 3 4 3 2" xfId="3764" xr:uid="{00000000-0005-0000-0000-00003F020000}"/>
    <cellStyle name="Comma 14 3 4 4" xfId="4145" xr:uid="{00000000-0005-0000-0000-000040020000}"/>
    <cellStyle name="Comma 14 3 4 5" xfId="2875" xr:uid="{00000000-0005-0000-0000-000041020000}"/>
    <cellStyle name="Comma 14 3 5" xfId="115" xr:uid="{00000000-0005-0000-0000-000042020000}"/>
    <cellStyle name="Comma 14 3 5 2" xfId="1865" xr:uid="{00000000-0005-0000-0000-000043020000}"/>
    <cellStyle name="Comma 14 3 5 2 2" xfId="3643" xr:uid="{00000000-0005-0000-0000-000044020000}"/>
    <cellStyle name="Comma 14 3 5 3" xfId="4121" xr:uid="{00000000-0005-0000-0000-000045020000}"/>
    <cellStyle name="Comma 14 3 5 4" xfId="3025" xr:uid="{00000000-0005-0000-0000-000046020000}"/>
    <cellStyle name="Comma 14 3 6" xfId="1290" xr:uid="{00000000-0005-0000-0000-000047020000}"/>
    <cellStyle name="Comma 14 3 6 2" xfId="4495" xr:uid="{00000000-0005-0000-0000-000048020000}"/>
    <cellStyle name="Comma 14 3 7" xfId="3995" xr:uid="{00000000-0005-0000-0000-000049020000}"/>
    <cellStyle name="Comma 14 3 8" xfId="2449" xr:uid="{00000000-0005-0000-0000-00004A020000}"/>
    <cellStyle name="Comma 14 4" xfId="116" xr:uid="{00000000-0005-0000-0000-00004B020000}"/>
    <cellStyle name="Comma 14 4 2" xfId="117" xr:uid="{00000000-0005-0000-0000-00004C020000}"/>
    <cellStyle name="Comma 14 4 2 2" xfId="1927" xr:uid="{00000000-0005-0000-0000-00004D020000}"/>
    <cellStyle name="Comma 14 4 2 2 2" xfId="4367" xr:uid="{00000000-0005-0000-0000-00004E020000}"/>
    <cellStyle name="Comma 14 4 2 3" xfId="3867" xr:uid="{00000000-0005-0000-0000-00004F020000}"/>
    <cellStyle name="Comma 14 4 2 4" xfId="3087" xr:uid="{00000000-0005-0000-0000-000050020000}"/>
    <cellStyle name="Comma 14 4 3" xfId="1352" xr:uid="{00000000-0005-0000-0000-000051020000}"/>
    <cellStyle name="Comma 14 4 3 2" xfId="4247" xr:uid="{00000000-0005-0000-0000-000052020000}"/>
    <cellStyle name="Comma 14 4 4" xfId="3746" xr:uid="{00000000-0005-0000-0000-000053020000}"/>
    <cellStyle name="Comma 14 4 5" xfId="2511" xr:uid="{00000000-0005-0000-0000-000054020000}"/>
    <cellStyle name="Comma 14 5" xfId="118" xr:uid="{00000000-0005-0000-0000-000055020000}"/>
    <cellStyle name="Comma 14 5 2" xfId="119" xr:uid="{00000000-0005-0000-0000-000056020000}"/>
    <cellStyle name="Comma 14 5 2 2" xfId="2062" xr:uid="{00000000-0005-0000-0000-000057020000}"/>
    <cellStyle name="Comma 14 5 2 2 2" xfId="3615" xr:uid="{00000000-0005-0000-0000-000058020000}"/>
    <cellStyle name="Comma 14 5 2 3" xfId="4058" xr:uid="{00000000-0005-0000-0000-000059020000}"/>
    <cellStyle name="Comma 14 5 2 4" xfId="3222" xr:uid="{00000000-0005-0000-0000-00005A020000}"/>
    <cellStyle name="Comma 14 5 3" xfId="1488" xr:uid="{00000000-0005-0000-0000-00005B020000}"/>
    <cellStyle name="Comma 14 5 3 2" xfId="4432" xr:uid="{00000000-0005-0000-0000-00005C020000}"/>
    <cellStyle name="Comma 14 5 4" xfId="3932" xr:uid="{00000000-0005-0000-0000-00005D020000}"/>
    <cellStyle name="Comma 14 5 5" xfId="2647" xr:uid="{00000000-0005-0000-0000-00005E020000}"/>
    <cellStyle name="Comma 14 6" xfId="120" xr:uid="{00000000-0005-0000-0000-00005F020000}"/>
    <cellStyle name="Comma 14 6 2" xfId="121" xr:uid="{00000000-0005-0000-0000-000060020000}"/>
    <cellStyle name="Comma 14 6 2 2" xfId="2208" xr:uid="{00000000-0005-0000-0000-000061020000}"/>
    <cellStyle name="Comma 14 6 2 2 2" xfId="4304" xr:uid="{00000000-0005-0000-0000-000062020000}"/>
    <cellStyle name="Comma 14 6 2 3" xfId="3804" xr:uid="{00000000-0005-0000-0000-000063020000}"/>
    <cellStyle name="Comma 14 6 2 4" xfId="3368" xr:uid="{00000000-0005-0000-0000-000064020000}"/>
    <cellStyle name="Comma 14 6 3" xfId="1634" xr:uid="{00000000-0005-0000-0000-000065020000}"/>
    <cellStyle name="Comma 14 6 3 2" xfId="4184" xr:uid="{00000000-0005-0000-0000-000066020000}"/>
    <cellStyle name="Comma 14 6 4" xfId="3683" xr:uid="{00000000-0005-0000-0000-000067020000}"/>
    <cellStyle name="Comma 14 6 5" xfId="2793" xr:uid="{00000000-0005-0000-0000-000068020000}"/>
    <cellStyle name="Comma 14 7" xfId="122" xr:uid="{00000000-0005-0000-0000-000069020000}"/>
    <cellStyle name="Comma 14 7 2" xfId="1783" xr:uid="{00000000-0005-0000-0000-00006A020000}"/>
    <cellStyle name="Comma 14 7 2 2" xfId="3552" xr:uid="{00000000-0005-0000-0000-00006B020000}"/>
    <cellStyle name="Comma 14 7 3" xfId="3510" xr:uid="{00000000-0005-0000-0000-00006C020000}"/>
    <cellStyle name="Comma 14 7 4" xfId="2943" xr:uid="{00000000-0005-0000-0000-00006D020000}"/>
    <cellStyle name="Comma 14 8" xfId="1208" xr:uid="{00000000-0005-0000-0000-00006E020000}"/>
    <cellStyle name="Comma 14 8 2" xfId="4017" xr:uid="{00000000-0005-0000-0000-00006F020000}"/>
    <cellStyle name="Comma 14 9" xfId="4391" xr:uid="{00000000-0005-0000-0000-000070020000}"/>
    <cellStyle name="Comma 15" xfId="123" xr:uid="{00000000-0005-0000-0000-000071020000}"/>
    <cellStyle name="Comma 15 10" xfId="2368" xr:uid="{00000000-0005-0000-0000-000072020000}"/>
    <cellStyle name="Comma 15 2" xfId="124" xr:uid="{00000000-0005-0000-0000-000073020000}"/>
    <cellStyle name="Comma 15 2 2" xfId="125" xr:uid="{00000000-0005-0000-0000-000074020000}"/>
    <cellStyle name="Comma 15 2 2 2" xfId="126" xr:uid="{00000000-0005-0000-0000-000075020000}"/>
    <cellStyle name="Comma 15 2 2 2 2" xfId="1974" xr:uid="{00000000-0005-0000-0000-000076020000}"/>
    <cellStyle name="Comma 15 2 2 2 2 2" xfId="3891" xr:uid="{00000000-0005-0000-0000-000077020000}"/>
    <cellStyle name="Comma 15 2 2 2 3" xfId="4263" xr:uid="{00000000-0005-0000-0000-000078020000}"/>
    <cellStyle name="Comma 15 2 2 2 4" xfId="3134" xr:uid="{00000000-0005-0000-0000-000079020000}"/>
    <cellStyle name="Comma 15 2 2 3" xfId="1400" xr:uid="{00000000-0005-0000-0000-00007A020000}"/>
    <cellStyle name="Comma 15 2 2 3 2" xfId="3763" xr:uid="{00000000-0005-0000-0000-00007B020000}"/>
    <cellStyle name="Comma 15 2 2 4" xfId="4144" xr:uid="{00000000-0005-0000-0000-00007C020000}"/>
    <cellStyle name="Comma 15 2 2 5" xfId="2559" xr:uid="{00000000-0005-0000-0000-00007D020000}"/>
    <cellStyle name="Comma 15 2 3" xfId="127" xr:uid="{00000000-0005-0000-0000-00007E020000}"/>
    <cellStyle name="Comma 15 2 3 2" xfId="128" xr:uid="{00000000-0005-0000-0000-00007F020000}"/>
    <cellStyle name="Comma 15 2 3 2 2" xfId="2110" xr:uid="{00000000-0005-0000-0000-000080020000}"/>
    <cellStyle name="Comma 15 2 3 2 2 2" xfId="3642" xr:uid="{00000000-0005-0000-0000-000081020000}"/>
    <cellStyle name="Comma 15 2 3 2 3" xfId="4120" xr:uid="{00000000-0005-0000-0000-000082020000}"/>
    <cellStyle name="Comma 15 2 3 2 4" xfId="3270" xr:uid="{00000000-0005-0000-0000-000083020000}"/>
    <cellStyle name="Comma 15 2 3 3" xfId="1536" xr:uid="{00000000-0005-0000-0000-000084020000}"/>
    <cellStyle name="Comma 15 2 3 3 2" xfId="4494" xr:uid="{00000000-0005-0000-0000-000085020000}"/>
    <cellStyle name="Comma 15 2 3 4" xfId="3994" xr:uid="{00000000-0005-0000-0000-000086020000}"/>
    <cellStyle name="Comma 15 2 3 5" xfId="2695" xr:uid="{00000000-0005-0000-0000-000087020000}"/>
    <cellStyle name="Comma 15 2 4" xfId="129" xr:uid="{00000000-0005-0000-0000-000088020000}"/>
    <cellStyle name="Comma 15 2 4 2" xfId="130" xr:uid="{00000000-0005-0000-0000-000089020000}"/>
    <cellStyle name="Comma 15 2 4 2 2" xfId="2256" xr:uid="{00000000-0005-0000-0000-00008A020000}"/>
    <cellStyle name="Comma 15 2 4 2 2 2" xfId="4366" xr:uid="{00000000-0005-0000-0000-00008B020000}"/>
    <cellStyle name="Comma 15 2 4 2 3" xfId="3866" xr:uid="{00000000-0005-0000-0000-00008C020000}"/>
    <cellStyle name="Comma 15 2 4 2 4" xfId="3416" xr:uid="{00000000-0005-0000-0000-00008D020000}"/>
    <cellStyle name="Comma 15 2 4 3" xfId="1682" xr:uid="{00000000-0005-0000-0000-00008E020000}"/>
    <cellStyle name="Comma 15 2 4 3 2" xfId="4246" xr:uid="{00000000-0005-0000-0000-00008F020000}"/>
    <cellStyle name="Comma 15 2 4 4" xfId="3745" xr:uid="{00000000-0005-0000-0000-000090020000}"/>
    <cellStyle name="Comma 15 2 4 5" xfId="2841" xr:uid="{00000000-0005-0000-0000-000091020000}"/>
    <cellStyle name="Comma 15 2 5" xfId="131" xr:uid="{00000000-0005-0000-0000-000092020000}"/>
    <cellStyle name="Comma 15 2 5 2" xfId="1831" xr:uid="{00000000-0005-0000-0000-000093020000}"/>
    <cellStyle name="Comma 15 2 5 2 2" xfId="3614" xr:uid="{00000000-0005-0000-0000-000094020000}"/>
    <cellStyle name="Comma 15 2 5 3" xfId="4057" xr:uid="{00000000-0005-0000-0000-000095020000}"/>
    <cellStyle name="Comma 15 2 5 4" xfId="2991" xr:uid="{00000000-0005-0000-0000-000096020000}"/>
    <cellStyle name="Comma 15 2 6" xfId="1256" xr:uid="{00000000-0005-0000-0000-000097020000}"/>
    <cellStyle name="Comma 15 2 6 2" xfId="4431" xr:uid="{00000000-0005-0000-0000-000098020000}"/>
    <cellStyle name="Comma 15 2 7" xfId="3931" xr:uid="{00000000-0005-0000-0000-000099020000}"/>
    <cellStyle name="Comma 15 2 8" xfId="2415" xr:uid="{00000000-0005-0000-0000-00009A020000}"/>
    <cellStyle name="Comma 15 3" xfId="132" xr:uid="{00000000-0005-0000-0000-00009B020000}"/>
    <cellStyle name="Comma 15 3 2" xfId="133" xr:uid="{00000000-0005-0000-0000-00009C020000}"/>
    <cellStyle name="Comma 15 3 2 2" xfId="134" xr:uid="{00000000-0005-0000-0000-00009D020000}"/>
    <cellStyle name="Comma 15 3 2 2 2" xfId="2009" xr:uid="{00000000-0005-0000-0000-00009E020000}"/>
    <cellStyle name="Comma 15 3 2 2 2 2" xfId="4303" xr:uid="{00000000-0005-0000-0000-00009F020000}"/>
    <cellStyle name="Comma 15 3 2 2 3" xfId="3803" xr:uid="{00000000-0005-0000-0000-0000A0020000}"/>
    <cellStyle name="Comma 15 3 2 2 4" xfId="3169" xr:uid="{00000000-0005-0000-0000-0000A1020000}"/>
    <cellStyle name="Comma 15 3 2 3" xfId="1435" xr:uid="{00000000-0005-0000-0000-0000A2020000}"/>
    <cellStyle name="Comma 15 3 2 3 2" xfId="4183" xr:uid="{00000000-0005-0000-0000-0000A3020000}"/>
    <cellStyle name="Comma 15 3 2 4" xfId="3682" xr:uid="{00000000-0005-0000-0000-0000A4020000}"/>
    <cellStyle name="Comma 15 3 2 5" xfId="2594" xr:uid="{00000000-0005-0000-0000-0000A5020000}"/>
    <cellStyle name="Comma 15 3 3" xfId="135" xr:uid="{00000000-0005-0000-0000-0000A6020000}"/>
    <cellStyle name="Comma 15 3 3 2" xfId="136" xr:uid="{00000000-0005-0000-0000-0000A7020000}"/>
    <cellStyle name="Comma 15 3 3 2 2" xfId="2145" xr:uid="{00000000-0005-0000-0000-0000A8020000}"/>
    <cellStyle name="Comma 15 3 3 2 2 2" xfId="3551" xr:uid="{00000000-0005-0000-0000-0000A9020000}"/>
    <cellStyle name="Comma 15 3 3 2 3" xfId="3509" xr:uid="{00000000-0005-0000-0000-0000AA020000}"/>
    <cellStyle name="Comma 15 3 3 2 4" xfId="3305" xr:uid="{00000000-0005-0000-0000-0000AB020000}"/>
    <cellStyle name="Comma 15 3 3 3" xfId="1571" xr:uid="{00000000-0005-0000-0000-0000AC020000}"/>
    <cellStyle name="Comma 15 3 3 3 2" xfId="4514" xr:uid="{00000000-0005-0000-0000-0000AD020000}"/>
    <cellStyle name="Comma 15 3 3 4" xfId="4013" xr:uid="{00000000-0005-0000-0000-0000AE020000}"/>
    <cellStyle name="Comma 15 3 3 5" xfId="2730" xr:uid="{00000000-0005-0000-0000-0000AF020000}"/>
    <cellStyle name="Comma 15 3 4" xfId="137" xr:uid="{00000000-0005-0000-0000-0000B0020000}"/>
    <cellStyle name="Comma 15 3 4 2" xfId="138" xr:uid="{00000000-0005-0000-0000-0000B1020000}"/>
    <cellStyle name="Comma 15 3 4 2 2" xfId="2291" xr:uid="{00000000-0005-0000-0000-0000B2020000}"/>
    <cellStyle name="Comma 15 3 4 2 2 2" xfId="4513" xr:uid="{00000000-0005-0000-0000-0000B3020000}"/>
    <cellStyle name="Comma 15 3 4 2 3" xfId="4509" xr:uid="{00000000-0005-0000-0000-0000B4020000}"/>
    <cellStyle name="Comma 15 3 4 2 4" xfId="3451" xr:uid="{00000000-0005-0000-0000-0000B5020000}"/>
    <cellStyle name="Comma 15 3 4 3" xfId="1717" xr:uid="{00000000-0005-0000-0000-0000B6020000}"/>
    <cellStyle name="Comma 15 3 4 3 2" xfId="4508" xr:uid="{00000000-0005-0000-0000-0000B7020000}"/>
    <cellStyle name="Comma 15 3 4 4" xfId="4010" xr:uid="{00000000-0005-0000-0000-0000B8020000}"/>
    <cellStyle name="Comma 15 3 4 5" xfId="2876" xr:uid="{00000000-0005-0000-0000-0000B9020000}"/>
    <cellStyle name="Comma 15 3 5" xfId="139" xr:uid="{00000000-0005-0000-0000-0000BA020000}"/>
    <cellStyle name="Comma 15 3 5 2" xfId="1866" xr:uid="{00000000-0005-0000-0000-0000BB020000}"/>
    <cellStyle name="Comma 15 3 5 2 2" xfId="4009" xr:uid="{00000000-0005-0000-0000-0000BC020000}"/>
    <cellStyle name="Comma 15 3 5 3" xfId="4387" xr:uid="{00000000-0005-0000-0000-0000BD020000}"/>
    <cellStyle name="Comma 15 3 5 4" xfId="3026" xr:uid="{00000000-0005-0000-0000-0000BE020000}"/>
    <cellStyle name="Comma 15 3 6" xfId="1291" xr:uid="{00000000-0005-0000-0000-0000BF020000}"/>
    <cellStyle name="Comma 15 3 6 2" xfId="3887" xr:uid="{00000000-0005-0000-0000-0000C0020000}"/>
    <cellStyle name="Comma 15 3 7" xfId="3759" xr:uid="{00000000-0005-0000-0000-0000C1020000}"/>
    <cellStyle name="Comma 15 3 8" xfId="2450" xr:uid="{00000000-0005-0000-0000-0000C2020000}"/>
    <cellStyle name="Comma 15 4" xfId="140" xr:uid="{00000000-0005-0000-0000-0000C3020000}"/>
    <cellStyle name="Comma 15 4 2" xfId="141" xr:uid="{00000000-0005-0000-0000-0000C4020000}"/>
    <cellStyle name="Comma 15 4 2 2" xfId="1928" xr:uid="{00000000-0005-0000-0000-0000C5020000}"/>
    <cellStyle name="Comma 15 4 2 2 2" xfId="4140" xr:uid="{00000000-0005-0000-0000-0000C6020000}"/>
    <cellStyle name="Comma 15 4 2 3" xfId="3635" xr:uid="{00000000-0005-0000-0000-0000C7020000}"/>
    <cellStyle name="Comma 15 4 2 4" xfId="3088" xr:uid="{00000000-0005-0000-0000-0000C8020000}"/>
    <cellStyle name="Comma 15 4 3" xfId="1353" xr:uid="{00000000-0005-0000-0000-0000C9020000}"/>
    <cellStyle name="Comma 15 4 3 2" xfId="3638" xr:uid="{00000000-0005-0000-0000-0000CA020000}"/>
    <cellStyle name="Comma 15 4 4" xfId="4016" xr:uid="{00000000-0005-0000-0000-0000CB020000}"/>
    <cellStyle name="Comma 15 4 5" xfId="2512" xr:uid="{00000000-0005-0000-0000-0000CC020000}"/>
    <cellStyle name="Comma 15 5" xfId="142" xr:uid="{00000000-0005-0000-0000-0000CD020000}"/>
    <cellStyle name="Comma 15 5 2" xfId="143" xr:uid="{00000000-0005-0000-0000-0000CE020000}"/>
    <cellStyle name="Comma 15 5 2 2" xfId="2063" xr:uid="{00000000-0005-0000-0000-0000CF020000}"/>
    <cellStyle name="Comma 15 5 2 2 2" xfId="4390" xr:uid="{00000000-0005-0000-0000-0000D0020000}"/>
    <cellStyle name="Comma 15 5 2 3" xfId="3890" xr:uid="{00000000-0005-0000-0000-0000D1020000}"/>
    <cellStyle name="Comma 15 5 2 4" xfId="3223" xr:uid="{00000000-0005-0000-0000-0000D2020000}"/>
    <cellStyle name="Comma 15 5 3" xfId="1489" xr:uid="{00000000-0005-0000-0000-0000D3020000}"/>
    <cellStyle name="Comma 15 5 3 2" xfId="4262" xr:uid="{00000000-0005-0000-0000-0000D4020000}"/>
    <cellStyle name="Comma 15 5 4" xfId="3762" xr:uid="{00000000-0005-0000-0000-0000D5020000}"/>
    <cellStyle name="Comma 15 5 5" xfId="2648" xr:uid="{00000000-0005-0000-0000-0000D6020000}"/>
    <cellStyle name="Comma 15 6" xfId="144" xr:uid="{00000000-0005-0000-0000-0000D7020000}"/>
    <cellStyle name="Comma 15 6 2" xfId="145" xr:uid="{00000000-0005-0000-0000-0000D8020000}"/>
    <cellStyle name="Comma 15 6 2 2" xfId="2209" xr:uid="{00000000-0005-0000-0000-0000D9020000}"/>
    <cellStyle name="Comma 15 6 2 2 2" xfId="4143" xr:uid="{00000000-0005-0000-0000-0000DA020000}"/>
    <cellStyle name="Comma 15 6 2 3" xfId="3641" xr:uid="{00000000-0005-0000-0000-0000DB020000}"/>
    <cellStyle name="Comma 15 6 2 4" xfId="3369" xr:uid="{00000000-0005-0000-0000-0000DC020000}"/>
    <cellStyle name="Comma 15 6 3" xfId="1635" xr:uid="{00000000-0005-0000-0000-0000DD020000}"/>
    <cellStyle name="Comma 15 6 3 2" xfId="4119" xr:uid="{00000000-0005-0000-0000-0000DE020000}"/>
    <cellStyle name="Comma 15 6 4" xfId="4493" xr:uid="{00000000-0005-0000-0000-0000DF020000}"/>
    <cellStyle name="Comma 15 6 5" xfId="2794" xr:uid="{00000000-0005-0000-0000-0000E0020000}"/>
    <cellStyle name="Comma 15 7" xfId="146" xr:uid="{00000000-0005-0000-0000-0000E1020000}"/>
    <cellStyle name="Comma 15 7 2" xfId="1784" xr:uid="{00000000-0005-0000-0000-0000E2020000}"/>
    <cellStyle name="Comma 15 7 2 2" xfId="3993" xr:uid="{00000000-0005-0000-0000-0000E3020000}"/>
    <cellStyle name="Comma 15 7 3" xfId="4365" xr:uid="{00000000-0005-0000-0000-0000E4020000}"/>
    <cellStyle name="Comma 15 7 4" xfId="2944" xr:uid="{00000000-0005-0000-0000-0000E5020000}"/>
    <cellStyle name="Comma 15 8" xfId="1209" xr:uid="{00000000-0005-0000-0000-0000E6020000}"/>
    <cellStyle name="Comma 15 8 2" xfId="3865" xr:uid="{00000000-0005-0000-0000-0000E7020000}"/>
    <cellStyle name="Comma 15 9" xfId="4245" xr:uid="{00000000-0005-0000-0000-0000E8020000}"/>
    <cellStyle name="Comma 16" xfId="147" xr:uid="{00000000-0005-0000-0000-0000E9020000}"/>
    <cellStyle name="Comma 16 10" xfId="2369" xr:uid="{00000000-0005-0000-0000-0000EA020000}"/>
    <cellStyle name="Comma 16 2" xfId="148" xr:uid="{00000000-0005-0000-0000-0000EB020000}"/>
    <cellStyle name="Comma 16 2 2" xfId="149" xr:uid="{00000000-0005-0000-0000-0000EC020000}"/>
    <cellStyle name="Comma 16 2 2 2" xfId="150" xr:uid="{00000000-0005-0000-0000-0000ED020000}"/>
    <cellStyle name="Comma 16 2 2 2 2" xfId="1975" xr:uid="{00000000-0005-0000-0000-0000EE020000}"/>
    <cellStyle name="Comma 16 2 2 2 2 2" xfId="3744" xr:uid="{00000000-0005-0000-0000-0000EF020000}"/>
    <cellStyle name="Comma 16 2 2 2 3" xfId="3613" xr:uid="{00000000-0005-0000-0000-0000F0020000}"/>
    <cellStyle name="Comma 16 2 2 2 4" xfId="3135" xr:uid="{00000000-0005-0000-0000-0000F1020000}"/>
    <cellStyle name="Comma 16 2 2 3" xfId="1401" xr:uid="{00000000-0005-0000-0000-0000F2020000}"/>
    <cellStyle name="Comma 16 2 2 3 2" xfId="4056" xr:uid="{00000000-0005-0000-0000-0000F3020000}"/>
    <cellStyle name="Comma 16 2 2 4" xfId="4430" xr:uid="{00000000-0005-0000-0000-0000F4020000}"/>
    <cellStyle name="Comma 16 2 2 5" xfId="2560" xr:uid="{00000000-0005-0000-0000-0000F5020000}"/>
    <cellStyle name="Comma 16 2 3" xfId="151" xr:uid="{00000000-0005-0000-0000-0000F6020000}"/>
    <cellStyle name="Comma 16 2 3 2" xfId="152" xr:uid="{00000000-0005-0000-0000-0000F7020000}"/>
    <cellStyle name="Comma 16 2 3 2 2" xfId="2111" xr:uid="{00000000-0005-0000-0000-0000F8020000}"/>
    <cellStyle name="Comma 16 2 3 2 2 2" xfId="3930" xr:uid="{00000000-0005-0000-0000-0000F9020000}"/>
    <cellStyle name="Comma 16 2 3 2 3" xfId="4302" xr:uid="{00000000-0005-0000-0000-0000FA020000}"/>
    <cellStyle name="Comma 16 2 3 2 4" xfId="3271" xr:uid="{00000000-0005-0000-0000-0000FB020000}"/>
    <cellStyle name="Comma 16 2 3 3" xfId="1537" xr:uid="{00000000-0005-0000-0000-0000FC020000}"/>
    <cellStyle name="Comma 16 2 3 3 2" xfId="3802" xr:uid="{00000000-0005-0000-0000-0000FD020000}"/>
    <cellStyle name="Comma 16 2 3 4" xfId="4182" xr:uid="{00000000-0005-0000-0000-0000FE020000}"/>
    <cellStyle name="Comma 16 2 3 5" xfId="2696" xr:uid="{00000000-0005-0000-0000-0000FF020000}"/>
    <cellStyle name="Comma 16 2 4" xfId="153" xr:uid="{00000000-0005-0000-0000-000000030000}"/>
    <cellStyle name="Comma 16 2 4 2" xfId="154" xr:uid="{00000000-0005-0000-0000-000001030000}"/>
    <cellStyle name="Comma 16 2 4 2 2" xfId="2257" xr:uid="{00000000-0005-0000-0000-000002030000}"/>
    <cellStyle name="Comma 16 2 4 2 2 2" xfId="3681" xr:uid="{00000000-0005-0000-0000-000003030000}"/>
    <cellStyle name="Comma 16 2 4 2 3" xfId="3550" xr:uid="{00000000-0005-0000-0000-000004030000}"/>
    <cellStyle name="Comma 16 2 4 2 4" xfId="3417" xr:uid="{00000000-0005-0000-0000-000005030000}"/>
    <cellStyle name="Comma 16 2 4 3" xfId="1683" xr:uid="{00000000-0005-0000-0000-000006030000}"/>
    <cellStyle name="Comma 16 2 4 3 2" xfId="3508" xr:uid="{00000000-0005-0000-0000-000007030000}"/>
    <cellStyle name="Comma 16 2 4 4" xfId="4042" xr:uid="{00000000-0005-0000-0000-000008030000}"/>
    <cellStyle name="Comma 16 2 4 5" xfId="2842" xr:uid="{00000000-0005-0000-0000-000009030000}"/>
    <cellStyle name="Comma 16 2 5" xfId="155" xr:uid="{00000000-0005-0000-0000-00000A030000}"/>
    <cellStyle name="Comma 16 2 5 2" xfId="1832" xr:uid="{00000000-0005-0000-0000-00000B030000}"/>
    <cellStyle name="Comma 16 2 5 2 2" xfId="4416" xr:uid="{00000000-0005-0000-0000-00000C030000}"/>
    <cellStyle name="Comma 16 2 5 3" xfId="3916" xr:uid="{00000000-0005-0000-0000-00000D030000}"/>
    <cellStyle name="Comma 16 2 5 4" xfId="2992" xr:uid="{00000000-0005-0000-0000-00000E030000}"/>
    <cellStyle name="Comma 16 2 6" xfId="1257" xr:uid="{00000000-0005-0000-0000-00000F030000}"/>
    <cellStyle name="Comma 16 2 6 2" xfId="4288" xr:uid="{00000000-0005-0000-0000-000010030000}"/>
    <cellStyle name="Comma 16 2 7" xfId="3788" xr:uid="{00000000-0005-0000-0000-000011030000}"/>
    <cellStyle name="Comma 16 2 8" xfId="2416" xr:uid="{00000000-0005-0000-0000-000012030000}"/>
    <cellStyle name="Comma 16 3" xfId="156" xr:uid="{00000000-0005-0000-0000-000013030000}"/>
    <cellStyle name="Comma 16 3 2" xfId="157" xr:uid="{00000000-0005-0000-0000-000014030000}"/>
    <cellStyle name="Comma 16 3 2 2" xfId="158" xr:uid="{00000000-0005-0000-0000-000015030000}"/>
    <cellStyle name="Comma 16 3 2 2 2" xfId="2010" xr:uid="{00000000-0005-0000-0000-000016030000}"/>
    <cellStyle name="Comma 16 3 2 2 2 2" xfId="4169" xr:uid="{00000000-0005-0000-0000-000017030000}"/>
    <cellStyle name="Comma 16 3 2 2 3" xfId="3667" xr:uid="{00000000-0005-0000-0000-000018030000}"/>
    <cellStyle name="Comma 16 3 2 2 4" xfId="3170" xr:uid="{00000000-0005-0000-0000-000019030000}"/>
    <cellStyle name="Comma 16 3 2 3" xfId="1436" xr:uid="{00000000-0005-0000-0000-00001A030000}"/>
    <cellStyle name="Comma 16 3 2 3 2" xfId="4118" xr:uid="{00000000-0005-0000-0000-00001B030000}"/>
    <cellStyle name="Comma 16 3 2 4" xfId="4492" xr:uid="{00000000-0005-0000-0000-00001C030000}"/>
    <cellStyle name="Comma 16 3 2 5" xfId="2595" xr:uid="{00000000-0005-0000-0000-00001D030000}"/>
    <cellStyle name="Comma 16 3 3" xfId="159" xr:uid="{00000000-0005-0000-0000-00001E030000}"/>
    <cellStyle name="Comma 16 3 3 2" xfId="160" xr:uid="{00000000-0005-0000-0000-00001F030000}"/>
    <cellStyle name="Comma 16 3 3 2 2" xfId="2146" xr:uid="{00000000-0005-0000-0000-000020030000}"/>
    <cellStyle name="Comma 16 3 3 2 2 2" xfId="3992" xr:uid="{00000000-0005-0000-0000-000021030000}"/>
    <cellStyle name="Comma 16 3 3 2 3" xfId="4364" xr:uid="{00000000-0005-0000-0000-000022030000}"/>
    <cellStyle name="Comma 16 3 3 2 4" xfId="3306" xr:uid="{00000000-0005-0000-0000-000023030000}"/>
    <cellStyle name="Comma 16 3 3 3" xfId="1572" xr:uid="{00000000-0005-0000-0000-000024030000}"/>
    <cellStyle name="Comma 16 3 3 3 2" xfId="3864" xr:uid="{00000000-0005-0000-0000-000025030000}"/>
    <cellStyle name="Comma 16 3 3 4" xfId="4244" xr:uid="{00000000-0005-0000-0000-000026030000}"/>
    <cellStyle name="Comma 16 3 3 5" xfId="2731" xr:uid="{00000000-0005-0000-0000-000027030000}"/>
    <cellStyle name="Comma 16 3 4" xfId="161" xr:uid="{00000000-0005-0000-0000-000028030000}"/>
    <cellStyle name="Comma 16 3 4 2" xfId="162" xr:uid="{00000000-0005-0000-0000-000029030000}"/>
    <cellStyle name="Comma 16 3 4 2 2" xfId="2292" xr:uid="{00000000-0005-0000-0000-00002A030000}"/>
    <cellStyle name="Comma 16 3 4 2 2 2" xfId="3743" xr:uid="{00000000-0005-0000-0000-00002B030000}"/>
    <cellStyle name="Comma 16 3 4 2 3" xfId="3612" xr:uid="{00000000-0005-0000-0000-00002C030000}"/>
    <cellStyle name="Comma 16 3 4 2 4" xfId="3452" xr:uid="{00000000-0005-0000-0000-00002D030000}"/>
    <cellStyle name="Comma 16 3 4 3" xfId="1718" xr:uid="{00000000-0005-0000-0000-00002E030000}"/>
    <cellStyle name="Comma 16 3 4 3 2" xfId="4082" xr:uid="{00000000-0005-0000-0000-00002F030000}"/>
    <cellStyle name="Comma 16 3 4 4" xfId="4456" xr:uid="{00000000-0005-0000-0000-000030030000}"/>
    <cellStyle name="Comma 16 3 4 5" xfId="2877" xr:uid="{00000000-0005-0000-0000-000031030000}"/>
    <cellStyle name="Comma 16 3 5" xfId="163" xr:uid="{00000000-0005-0000-0000-000032030000}"/>
    <cellStyle name="Comma 16 3 5 2" xfId="1867" xr:uid="{00000000-0005-0000-0000-000033030000}"/>
    <cellStyle name="Comma 16 3 5 2 2" xfId="3956" xr:uid="{00000000-0005-0000-0000-000034030000}"/>
    <cellStyle name="Comma 16 3 5 3" xfId="4328" xr:uid="{00000000-0005-0000-0000-000035030000}"/>
    <cellStyle name="Comma 16 3 5 4" xfId="3027" xr:uid="{00000000-0005-0000-0000-000036030000}"/>
    <cellStyle name="Comma 16 3 6" xfId="1292" xr:uid="{00000000-0005-0000-0000-000037030000}"/>
    <cellStyle name="Comma 16 3 6 2" xfId="3828" xr:uid="{00000000-0005-0000-0000-000038030000}"/>
    <cellStyle name="Comma 16 3 7" xfId="4208" xr:uid="{00000000-0005-0000-0000-000039030000}"/>
    <cellStyle name="Comma 16 3 8" xfId="2451" xr:uid="{00000000-0005-0000-0000-00003A030000}"/>
    <cellStyle name="Comma 16 4" xfId="164" xr:uid="{00000000-0005-0000-0000-00003B030000}"/>
    <cellStyle name="Comma 16 4 2" xfId="165" xr:uid="{00000000-0005-0000-0000-00003C030000}"/>
    <cellStyle name="Comma 16 4 2 2" xfId="1929" xr:uid="{00000000-0005-0000-0000-00003D030000}"/>
    <cellStyle name="Comma 16 4 2 2 2" xfId="3707" xr:uid="{00000000-0005-0000-0000-00003E030000}"/>
    <cellStyle name="Comma 16 4 2 3" xfId="3576" xr:uid="{00000000-0005-0000-0000-00003F030000}"/>
    <cellStyle name="Comma 16 4 2 4" xfId="3089" xr:uid="{00000000-0005-0000-0000-000040030000}"/>
    <cellStyle name="Comma 16 4 3" xfId="1354" xr:uid="{00000000-0005-0000-0000-000041030000}"/>
    <cellStyle name="Comma 16 4 3 2" xfId="3534" xr:uid="{00000000-0005-0000-0000-000042030000}"/>
    <cellStyle name="Comma 16 4 4" xfId="4041" xr:uid="{00000000-0005-0000-0000-000043030000}"/>
    <cellStyle name="Comma 16 4 5" xfId="2513" xr:uid="{00000000-0005-0000-0000-000044030000}"/>
    <cellStyle name="Comma 16 5" xfId="166" xr:uid="{00000000-0005-0000-0000-000045030000}"/>
    <cellStyle name="Comma 16 5 2" xfId="167" xr:uid="{00000000-0005-0000-0000-000046030000}"/>
    <cellStyle name="Comma 16 5 2 2" xfId="2064" xr:uid="{00000000-0005-0000-0000-000047030000}"/>
    <cellStyle name="Comma 16 5 2 2 2" xfId="4415" xr:uid="{00000000-0005-0000-0000-000048030000}"/>
    <cellStyle name="Comma 16 5 2 3" xfId="3915" xr:uid="{00000000-0005-0000-0000-000049030000}"/>
    <cellStyle name="Comma 16 5 2 4" xfId="3224" xr:uid="{00000000-0005-0000-0000-00004A030000}"/>
    <cellStyle name="Comma 16 5 3" xfId="1490" xr:uid="{00000000-0005-0000-0000-00004B030000}"/>
    <cellStyle name="Comma 16 5 3 2" xfId="4287" xr:uid="{00000000-0005-0000-0000-00004C030000}"/>
    <cellStyle name="Comma 16 5 4" xfId="3787" xr:uid="{00000000-0005-0000-0000-00004D030000}"/>
    <cellStyle name="Comma 16 5 5" xfId="2649" xr:uid="{00000000-0005-0000-0000-00004E030000}"/>
    <cellStyle name="Comma 16 6" xfId="168" xr:uid="{00000000-0005-0000-0000-00004F030000}"/>
    <cellStyle name="Comma 16 6 2" xfId="169" xr:uid="{00000000-0005-0000-0000-000050030000}"/>
    <cellStyle name="Comma 16 6 2 2" xfId="2210" xr:uid="{00000000-0005-0000-0000-000051030000}"/>
    <cellStyle name="Comma 16 6 2 2 2" xfId="4168" xr:uid="{00000000-0005-0000-0000-000052030000}"/>
    <cellStyle name="Comma 16 6 2 3" xfId="3666" xr:uid="{00000000-0005-0000-0000-000053030000}"/>
    <cellStyle name="Comma 16 6 2 4" xfId="3370" xr:uid="{00000000-0005-0000-0000-000054030000}"/>
    <cellStyle name="Comma 16 6 3" xfId="1636" xr:uid="{00000000-0005-0000-0000-000055030000}"/>
    <cellStyle name="Comma 16 6 3 2" xfId="4117" xr:uid="{00000000-0005-0000-0000-000056030000}"/>
    <cellStyle name="Comma 16 6 4" xfId="4491" xr:uid="{00000000-0005-0000-0000-000057030000}"/>
    <cellStyle name="Comma 16 6 5" xfId="2795" xr:uid="{00000000-0005-0000-0000-000058030000}"/>
    <cellStyle name="Comma 16 7" xfId="170" xr:uid="{00000000-0005-0000-0000-000059030000}"/>
    <cellStyle name="Comma 16 7 2" xfId="1785" xr:uid="{00000000-0005-0000-0000-00005A030000}"/>
    <cellStyle name="Comma 16 7 2 2" xfId="3991" xr:uid="{00000000-0005-0000-0000-00005B030000}"/>
    <cellStyle name="Comma 16 7 3" xfId="4363" xr:uid="{00000000-0005-0000-0000-00005C030000}"/>
    <cellStyle name="Comma 16 7 4" xfId="2945" xr:uid="{00000000-0005-0000-0000-00005D030000}"/>
    <cellStyle name="Comma 16 8" xfId="1210" xr:uid="{00000000-0005-0000-0000-00005E030000}"/>
    <cellStyle name="Comma 16 8 2" xfId="3863" xr:uid="{00000000-0005-0000-0000-00005F030000}"/>
    <cellStyle name="Comma 16 9" xfId="4243" xr:uid="{00000000-0005-0000-0000-000060030000}"/>
    <cellStyle name="Comma 17" xfId="171" xr:uid="{00000000-0005-0000-0000-000061030000}"/>
    <cellStyle name="Comma 17 10" xfId="2386" xr:uid="{00000000-0005-0000-0000-000062030000}"/>
    <cellStyle name="Comma 17 2" xfId="172" xr:uid="{00000000-0005-0000-0000-000063030000}"/>
    <cellStyle name="Comma 17 2 2" xfId="173" xr:uid="{00000000-0005-0000-0000-000064030000}"/>
    <cellStyle name="Comma 17 2 2 2" xfId="174" xr:uid="{00000000-0005-0000-0000-000065030000}"/>
    <cellStyle name="Comma 17 2 2 2 2" xfId="1992" xr:uid="{00000000-0005-0000-0000-000066030000}"/>
    <cellStyle name="Comma 17 2 2 2 2 2" xfId="3742" xr:uid="{00000000-0005-0000-0000-000067030000}"/>
    <cellStyle name="Comma 17 2 2 2 3" xfId="3611" xr:uid="{00000000-0005-0000-0000-000068030000}"/>
    <cellStyle name="Comma 17 2 2 2 4" xfId="3152" xr:uid="{00000000-0005-0000-0000-000069030000}"/>
    <cellStyle name="Comma 17 2 2 3" xfId="1418" xr:uid="{00000000-0005-0000-0000-00006A030000}"/>
    <cellStyle name="Comma 17 2 2 3 2" xfId="4081" xr:uid="{00000000-0005-0000-0000-00006B030000}"/>
    <cellStyle name="Comma 17 2 2 4" xfId="4455" xr:uid="{00000000-0005-0000-0000-00006C030000}"/>
    <cellStyle name="Comma 17 2 2 5" xfId="2577" xr:uid="{00000000-0005-0000-0000-00006D030000}"/>
    <cellStyle name="Comma 17 2 3" xfId="175" xr:uid="{00000000-0005-0000-0000-00006E030000}"/>
    <cellStyle name="Comma 17 2 3 2" xfId="176" xr:uid="{00000000-0005-0000-0000-00006F030000}"/>
    <cellStyle name="Comma 17 2 3 2 2" xfId="2128" xr:uid="{00000000-0005-0000-0000-000070030000}"/>
    <cellStyle name="Comma 17 2 3 2 2 2" xfId="3955" xr:uid="{00000000-0005-0000-0000-000071030000}"/>
    <cellStyle name="Comma 17 2 3 2 3" xfId="4327" xr:uid="{00000000-0005-0000-0000-000072030000}"/>
    <cellStyle name="Comma 17 2 3 2 4" xfId="3288" xr:uid="{00000000-0005-0000-0000-000073030000}"/>
    <cellStyle name="Comma 17 2 3 3" xfId="1554" xr:uid="{00000000-0005-0000-0000-000074030000}"/>
    <cellStyle name="Comma 17 2 3 3 2" xfId="3827" xr:uid="{00000000-0005-0000-0000-000075030000}"/>
    <cellStyle name="Comma 17 2 3 4" xfId="4207" xr:uid="{00000000-0005-0000-0000-000076030000}"/>
    <cellStyle name="Comma 17 2 3 5" xfId="2713" xr:uid="{00000000-0005-0000-0000-000077030000}"/>
    <cellStyle name="Comma 17 2 4" xfId="177" xr:uid="{00000000-0005-0000-0000-000078030000}"/>
    <cellStyle name="Comma 17 2 4 2" xfId="178" xr:uid="{00000000-0005-0000-0000-000079030000}"/>
    <cellStyle name="Comma 17 2 4 2 2" xfId="2274" xr:uid="{00000000-0005-0000-0000-00007A030000}"/>
    <cellStyle name="Comma 17 2 4 2 2 2" xfId="3706" xr:uid="{00000000-0005-0000-0000-00007B030000}"/>
    <cellStyle name="Comma 17 2 4 2 3" xfId="3575" xr:uid="{00000000-0005-0000-0000-00007C030000}"/>
    <cellStyle name="Comma 17 2 4 2 4" xfId="3434" xr:uid="{00000000-0005-0000-0000-00007D030000}"/>
    <cellStyle name="Comma 17 2 4 3" xfId="1700" xr:uid="{00000000-0005-0000-0000-00007E030000}"/>
    <cellStyle name="Comma 17 2 4 3 2" xfId="3533" xr:uid="{00000000-0005-0000-0000-00007F030000}"/>
    <cellStyle name="Comma 17 2 4 4" xfId="4040" xr:uid="{00000000-0005-0000-0000-000080030000}"/>
    <cellStyle name="Comma 17 2 4 5" xfId="2859" xr:uid="{00000000-0005-0000-0000-000081030000}"/>
    <cellStyle name="Comma 17 2 5" xfId="179" xr:uid="{00000000-0005-0000-0000-000082030000}"/>
    <cellStyle name="Comma 17 2 5 2" xfId="1849" xr:uid="{00000000-0005-0000-0000-000083030000}"/>
    <cellStyle name="Comma 17 2 5 2 2" xfId="4414" xr:uid="{00000000-0005-0000-0000-000084030000}"/>
    <cellStyle name="Comma 17 2 5 3" xfId="3914" xr:uid="{00000000-0005-0000-0000-000085030000}"/>
    <cellStyle name="Comma 17 2 5 4" xfId="3009" xr:uid="{00000000-0005-0000-0000-000086030000}"/>
    <cellStyle name="Comma 17 2 6" xfId="1274" xr:uid="{00000000-0005-0000-0000-000087030000}"/>
    <cellStyle name="Comma 17 2 6 2" xfId="4286" xr:uid="{00000000-0005-0000-0000-000088030000}"/>
    <cellStyle name="Comma 17 2 7" xfId="3786" xr:uid="{00000000-0005-0000-0000-000089030000}"/>
    <cellStyle name="Comma 17 2 8" xfId="2433" xr:uid="{00000000-0005-0000-0000-00008A030000}"/>
    <cellStyle name="Comma 17 3" xfId="180" xr:uid="{00000000-0005-0000-0000-00008B030000}"/>
    <cellStyle name="Comma 17 3 2" xfId="181" xr:uid="{00000000-0005-0000-0000-00008C030000}"/>
    <cellStyle name="Comma 17 3 2 2" xfId="182" xr:uid="{00000000-0005-0000-0000-00008D030000}"/>
    <cellStyle name="Comma 17 3 2 2 2" xfId="2011" xr:uid="{00000000-0005-0000-0000-00008E030000}"/>
    <cellStyle name="Comma 17 3 2 2 2 2" xfId="4167" xr:uid="{00000000-0005-0000-0000-00008F030000}"/>
    <cellStyle name="Comma 17 3 2 2 3" xfId="3665" xr:uid="{00000000-0005-0000-0000-000090030000}"/>
    <cellStyle name="Comma 17 3 2 2 4" xfId="3171" xr:uid="{00000000-0005-0000-0000-000091030000}"/>
    <cellStyle name="Comma 17 3 2 3" xfId="1437" xr:uid="{00000000-0005-0000-0000-000092030000}"/>
    <cellStyle name="Comma 17 3 2 3 2" xfId="4116" xr:uid="{00000000-0005-0000-0000-000093030000}"/>
    <cellStyle name="Comma 17 3 2 4" xfId="4490" xr:uid="{00000000-0005-0000-0000-000094030000}"/>
    <cellStyle name="Comma 17 3 2 5" xfId="2596" xr:uid="{00000000-0005-0000-0000-000095030000}"/>
    <cellStyle name="Comma 17 3 3" xfId="183" xr:uid="{00000000-0005-0000-0000-000096030000}"/>
    <cellStyle name="Comma 17 3 3 2" xfId="184" xr:uid="{00000000-0005-0000-0000-000097030000}"/>
    <cellStyle name="Comma 17 3 3 2 2" xfId="2147" xr:uid="{00000000-0005-0000-0000-000098030000}"/>
    <cellStyle name="Comma 17 3 3 2 2 2" xfId="3990" xr:uid="{00000000-0005-0000-0000-000099030000}"/>
    <cellStyle name="Comma 17 3 3 2 3" xfId="4362" xr:uid="{00000000-0005-0000-0000-00009A030000}"/>
    <cellStyle name="Comma 17 3 3 2 4" xfId="3307" xr:uid="{00000000-0005-0000-0000-00009B030000}"/>
    <cellStyle name="Comma 17 3 3 3" xfId="1573" xr:uid="{00000000-0005-0000-0000-00009C030000}"/>
    <cellStyle name="Comma 17 3 3 3 2" xfId="3862" xr:uid="{00000000-0005-0000-0000-00009D030000}"/>
    <cellStyle name="Comma 17 3 3 4" xfId="4242" xr:uid="{00000000-0005-0000-0000-00009E030000}"/>
    <cellStyle name="Comma 17 3 3 5" xfId="2732" xr:uid="{00000000-0005-0000-0000-00009F030000}"/>
    <cellStyle name="Comma 17 3 4" xfId="185" xr:uid="{00000000-0005-0000-0000-0000A0030000}"/>
    <cellStyle name="Comma 17 3 4 2" xfId="186" xr:uid="{00000000-0005-0000-0000-0000A1030000}"/>
    <cellStyle name="Comma 17 3 4 2 2" xfId="2293" xr:uid="{00000000-0005-0000-0000-0000A2030000}"/>
    <cellStyle name="Comma 17 3 4 2 2 2" xfId="3741" xr:uid="{00000000-0005-0000-0000-0000A3030000}"/>
    <cellStyle name="Comma 17 3 4 2 3" xfId="3610" xr:uid="{00000000-0005-0000-0000-0000A4030000}"/>
    <cellStyle name="Comma 17 3 4 2 4" xfId="3453" xr:uid="{00000000-0005-0000-0000-0000A5030000}"/>
    <cellStyle name="Comma 17 3 4 3" xfId="1719" xr:uid="{00000000-0005-0000-0000-0000A6030000}"/>
    <cellStyle name="Comma 17 3 4 3 2" xfId="4080" xr:uid="{00000000-0005-0000-0000-0000A7030000}"/>
    <cellStyle name="Comma 17 3 4 4" xfId="4454" xr:uid="{00000000-0005-0000-0000-0000A8030000}"/>
    <cellStyle name="Comma 17 3 4 5" xfId="2878" xr:uid="{00000000-0005-0000-0000-0000A9030000}"/>
    <cellStyle name="Comma 17 3 5" xfId="187" xr:uid="{00000000-0005-0000-0000-0000AA030000}"/>
    <cellStyle name="Comma 17 3 5 2" xfId="1868" xr:uid="{00000000-0005-0000-0000-0000AB030000}"/>
    <cellStyle name="Comma 17 3 5 2 2" xfId="3954" xr:uid="{00000000-0005-0000-0000-0000AC030000}"/>
    <cellStyle name="Comma 17 3 5 3" xfId="4326" xr:uid="{00000000-0005-0000-0000-0000AD030000}"/>
    <cellStyle name="Comma 17 3 5 4" xfId="3028" xr:uid="{00000000-0005-0000-0000-0000AE030000}"/>
    <cellStyle name="Comma 17 3 6" xfId="1293" xr:uid="{00000000-0005-0000-0000-0000AF030000}"/>
    <cellStyle name="Comma 17 3 6 2" xfId="3826" xr:uid="{00000000-0005-0000-0000-0000B0030000}"/>
    <cellStyle name="Comma 17 3 7" xfId="4206" xr:uid="{00000000-0005-0000-0000-0000B1030000}"/>
    <cellStyle name="Comma 17 3 8" xfId="2452" xr:uid="{00000000-0005-0000-0000-0000B2030000}"/>
    <cellStyle name="Comma 17 4" xfId="188" xr:uid="{00000000-0005-0000-0000-0000B3030000}"/>
    <cellStyle name="Comma 17 4 2" xfId="189" xr:uid="{00000000-0005-0000-0000-0000B4030000}"/>
    <cellStyle name="Comma 17 4 2 2" xfId="1946" xr:uid="{00000000-0005-0000-0000-0000B5030000}"/>
    <cellStyle name="Comma 17 4 2 2 2" xfId="3705" xr:uid="{00000000-0005-0000-0000-0000B6030000}"/>
    <cellStyle name="Comma 17 4 2 3" xfId="3574" xr:uid="{00000000-0005-0000-0000-0000B7030000}"/>
    <cellStyle name="Comma 17 4 2 4" xfId="3106" xr:uid="{00000000-0005-0000-0000-0000B8030000}"/>
    <cellStyle name="Comma 17 4 3" xfId="1371" xr:uid="{00000000-0005-0000-0000-0000B9030000}"/>
    <cellStyle name="Comma 17 4 3 2" xfId="3532" xr:uid="{00000000-0005-0000-0000-0000BA030000}"/>
    <cellStyle name="Comma 17 4 4" xfId="4039" xr:uid="{00000000-0005-0000-0000-0000BB030000}"/>
    <cellStyle name="Comma 17 4 5" xfId="2530" xr:uid="{00000000-0005-0000-0000-0000BC030000}"/>
    <cellStyle name="Comma 17 5" xfId="190" xr:uid="{00000000-0005-0000-0000-0000BD030000}"/>
    <cellStyle name="Comma 17 5 2" xfId="191" xr:uid="{00000000-0005-0000-0000-0000BE030000}"/>
    <cellStyle name="Comma 17 5 2 2" xfId="2081" xr:uid="{00000000-0005-0000-0000-0000BF030000}"/>
    <cellStyle name="Comma 17 5 2 2 2" xfId="4413" xr:uid="{00000000-0005-0000-0000-0000C0030000}"/>
    <cellStyle name="Comma 17 5 2 3" xfId="3913" xr:uid="{00000000-0005-0000-0000-0000C1030000}"/>
    <cellStyle name="Comma 17 5 2 4" xfId="3241" xr:uid="{00000000-0005-0000-0000-0000C2030000}"/>
    <cellStyle name="Comma 17 5 3" xfId="1507" xr:uid="{00000000-0005-0000-0000-0000C3030000}"/>
    <cellStyle name="Comma 17 5 3 2" xfId="4285" xr:uid="{00000000-0005-0000-0000-0000C4030000}"/>
    <cellStyle name="Comma 17 5 4" xfId="3785" xr:uid="{00000000-0005-0000-0000-0000C5030000}"/>
    <cellStyle name="Comma 17 5 5" xfId="2666" xr:uid="{00000000-0005-0000-0000-0000C6030000}"/>
    <cellStyle name="Comma 17 6" xfId="192" xr:uid="{00000000-0005-0000-0000-0000C7030000}"/>
    <cellStyle name="Comma 17 6 2" xfId="193" xr:uid="{00000000-0005-0000-0000-0000C8030000}"/>
    <cellStyle name="Comma 17 6 2 2" xfId="2227" xr:uid="{00000000-0005-0000-0000-0000C9030000}"/>
    <cellStyle name="Comma 17 6 2 2 2" xfId="4166" xr:uid="{00000000-0005-0000-0000-0000CA030000}"/>
    <cellStyle name="Comma 17 6 2 3" xfId="3664" xr:uid="{00000000-0005-0000-0000-0000CB030000}"/>
    <cellStyle name="Comma 17 6 2 4" xfId="3387" xr:uid="{00000000-0005-0000-0000-0000CC030000}"/>
    <cellStyle name="Comma 17 6 3" xfId="1653" xr:uid="{00000000-0005-0000-0000-0000CD030000}"/>
    <cellStyle name="Comma 17 6 3 2" xfId="4115" xr:uid="{00000000-0005-0000-0000-0000CE030000}"/>
    <cellStyle name="Comma 17 6 4" xfId="4489" xr:uid="{00000000-0005-0000-0000-0000CF030000}"/>
    <cellStyle name="Comma 17 6 5" xfId="2812" xr:uid="{00000000-0005-0000-0000-0000D0030000}"/>
    <cellStyle name="Comma 17 7" xfId="194" xr:uid="{00000000-0005-0000-0000-0000D1030000}"/>
    <cellStyle name="Comma 17 7 2" xfId="1802" xr:uid="{00000000-0005-0000-0000-0000D2030000}"/>
    <cellStyle name="Comma 17 7 2 2" xfId="3989" xr:uid="{00000000-0005-0000-0000-0000D3030000}"/>
    <cellStyle name="Comma 17 7 3" xfId="4361" xr:uid="{00000000-0005-0000-0000-0000D4030000}"/>
    <cellStyle name="Comma 17 7 4" xfId="2962" xr:uid="{00000000-0005-0000-0000-0000D5030000}"/>
    <cellStyle name="Comma 17 8" xfId="1227" xr:uid="{00000000-0005-0000-0000-0000D6030000}"/>
    <cellStyle name="Comma 17 8 2" xfId="3861" xr:uid="{00000000-0005-0000-0000-0000D7030000}"/>
    <cellStyle name="Comma 17 9" xfId="4241" xr:uid="{00000000-0005-0000-0000-0000D8030000}"/>
    <cellStyle name="Comma 18" xfId="195" xr:uid="{00000000-0005-0000-0000-0000D9030000}"/>
    <cellStyle name="Comma 18 10" xfId="2387" xr:uid="{00000000-0005-0000-0000-0000DA030000}"/>
    <cellStyle name="Comma 18 2" xfId="196" xr:uid="{00000000-0005-0000-0000-0000DB030000}"/>
    <cellStyle name="Comma 18 2 2" xfId="197" xr:uid="{00000000-0005-0000-0000-0000DC030000}"/>
    <cellStyle name="Comma 18 2 2 2" xfId="198" xr:uid="{00000000-0005-0000-0000-0000DD030000}"/>
    <cellStyle name="Comma 18 2 2 2 2" xfId="1993" xr:uid="{00000000-0005-0000-0000-0000DE030000}"/>
    <cellStyle name="Comma 18 2 2 2 2 2" xfId="3740" xr:uid="{00000000-0005-0000-0000-0000DF030000}"/>
    <cellStyle name="Comma 18 2 2 2 3" xfId="3609" xr:uid="{00000000-0005-0000-0000-0000E0030000}"/>
    <cellStyle name="Comma 18 2 2 2 4" xfId="3153" xr:uid="{00000000-0005-0000-0000-0000E1030000}"/>
    <cellStyle name="Comma 18 2 2 3" xfId="1419" xr:uid="{00000000-0005-0000-0000-0000E2030000}"/>
    <cellStyle name="Comma 18 2 2 3 2" xfId="4079" xr:uid="{00000000-0005-0000-0000-0000E3030000}"/>
    <cellStyle name="Comma 18 2 2 4" xfId="4453" xr:uid="{00000000-0005-0000-0000-0000E4030000}"/>
    <cellStyle name="Comma 18 2 2 5" xfId="2578" xr:uid="{00000000-0005-0000-0000-0000E5030000}"/>
    <cellStyle name="Comma 18 2 3" xfId="199" xr:uid="{00000000-0005-0000-0000-0000E6030000}"/>
    <cellStyle name="Comma 18 2 3 2" xfId="200" xr:uid="{00000000-0005-0000-0000-0000E7030000}"/>
    <cellStyle name="Comma 18 2 3 2 2" xfId="2129" xr:uid="{00000000-0005-0000-0000-0000E8030000}"/>
    <cellStyle name="Comma 18 2 3 2 2 2" xfId="3953" xr:uid="{00000000-0005-0000-0000-0000E9030000}"/>
    <cellStyle name="Comma 18 2 3 2 3" xfId="4325" xr:uid="{00000000-0005-0000-0000-0000EA030000}"/>
    <cellStyle name="Comma 18 2 3 2 4" xfId="3289" xr:uid="{00000000-0005-0000-0000-0000EB030000}"/>
    <cellStyle name="Comma 18 2 3 3" xfId="1555" xr:uid="{00000000-0005-0000-0000-0000EC030000}"/>
    <cellStyle name="Comma 18 2 3 3 2" xfId="3825" xr:uid="{00000000-0005-0000-0000-0000ED030000}"/>
    <cellStyle name="Comma 18 2 3 4" xfId="4205" xr:uid="{00000000-0005-0000-0000-0000EE030000}"/>
    <cellStyle name="Comma 18 2 3 5" xfId="2714" xr:uid="{00000000-0005-0000-0000-0000EF030000}"/>
    <cellStyle name="Comma 18 2 4" xfId="201" xr:uid="{00000000-0005-0000-0000-0000F0030000}"/>
    <cellStyle name="Comma 18 2 4 2" xfId="202" xr:uid="{00000000-0005-0000-0000-0000F1030000}"/>
    <cellStyle name="Comma 18 2 4 2 2" xfId="2275" xr:uid="{00000000-0005-0000-0000-0000F2030000}"/>
    <cellStyle name="Comma 18 2 4 2 2 2" xfId="3704" xr:uid="{00000000-0005-0000-0000-0000F3030000}"/>
    <cellStyle name="Comma 18 2 4 2 3" xfId="3573" xr:uid="{00000000-0005-0000-0000-0000F4030000}"/>
    <cellStyle name="Comma 18 2 4 2 4" xfId="3435" xr:uid="{00000000-0005-0000-0000-0000F5030000}"/>
    <cellStyle name="Comma 18 2 4 3" xfId="1701" xr:uid="{00000000-0005-0000-0000-0000F6030000}"/>
    <cellStyle name="Comma 18 2 4 3 2" xfId="3531" xr:uid="{00000000-0005-0000-0000-0000F7030000}"/>
    <cellStyle name="Comma 18 2 4 4" xfId="4038" xr:uid="{00000000-0005-0000-0000-0000F8030000}"/>
    <cellStyle name="Comma 18 2 4 5" xfId="2860" xr:uid="{00000000-0005-0000-0000-0000F9030000}"/>
    <cellStyle name="Comma 18 2 5" xfId="203" xr:uid="{00000000-0005-0000-0000-0000FA030000}"/>
    <cellStyle name="Comma 18 2 5 2" xfId="1850" xr:uid="{00000000-0005-0000-0000-0000FB030000}"/>
    <cellStyle name="Comma 18 2 5 2 2" xfId="4412" xr:uid="{00000000-0005-0000-0000-0000FC030000}"/>
    <cellStyle name="Comma 18 2 5 3" xfId="3912" xr:uid="{00000000-0005-0000-0000-0000FD030000}"/>
    <cellStyle name="Comma 18 2 5 4" xfId="3010" xr:uid="{00000000-0005-0000-0000-0000FE030000}"/>
    <cellStyle name="Comma 18 2 6" xfId="1275" xr:uid="{00000000-0005-0000-0000-0000FF030000}"/>
    <cellStyle name="Comma 18 2 6 2" xfId="4284" xr:uid="{00000000-0005-0000-0000-000000040000}"/>
    <cellStyle name="Comma 18 2 7" xfId="3784" xr:uid="{00000000-0005-0000-0000-000001040000}"/>
    <cellStyle name="Comma 18 2 8" xfId="2434" xr:uid="{00000000-0005-0000-0000-000002040000}"/>
    <cellStyle name="Comma 18 3" xfId="204" xr:uid="{00000000-0005-0000-0000-000003040000}"/>
    <cellStyle name="Comma 18 3 2" xfId="205" xr:uid="{00000000-0005-0000-0000-000004040000}"/>
    <cellStyle name="Comma 18 3 2 2" xfId="206" xr:uid="{00000000-0005-0000-0000-000005040000}"/>
    <cellStyle name="Comma 18 3 2 2 2" xfId="2012" xr:uid="{00000000-0005-0000-0000-000006040000}"/>
    <cellStyle name="Comma 18 3 2 2 2 2" xfId="4165" xr:uid="{00000000-0005-0000-0000-000007040000}"/>
    <cellStyle name="Comma 18 3 2 2 3" xfId="3663" xr:uid="{00000000-0005-0000-0000-000008040000}"/>
    <cellStyle name="Comma 18 3 2 2 4" xfId="3172" xr:uid="{00000000-0005-0000-0000-000009040000}"/>
    <cellStyle name="Comma 18 3 2 3" xfId="1438" xr:uid="{00000000-0005-0000-0000-00000A040000}"/>
    <cellStyle name="Comma 18 3 2 3 2" xfId="4114" xr:uid="{00000000-0005-0000-0000-00000B040000}"/>
    <cellStyle name="Comma 18 3 2 4" xfId="4488" xr:uid="{00000000-0005-0000-0000-00000C040000}"/>
    <cellStyle name="Comma 18 3 2 5" xfId="2597" xr:uid="{00000000-0005-0000-0000-00000D040000}"/>
    <cellStyle name="Comma 18 3 3" xfId="207" xr:uid="{00000000-0005-0000-0000-00000E040000}"/>
    <cellStyle name="Comma 18 3 3 2" xfId="208" xr:uid="{00000000-0005-0000-0000-00000F040000}"/>
    <cellStyle name="Comma 18 3 3 2 2" xfId="2148" xr:uid="{00000000-0005-0000-0000-000010040000}"/>
    <cellStyle name="Comma 18 3 3 2 2 2" xfId="3988" xr:uid="{00000000-0005-0000-0000-000011040000}"/>
    <cellStyle name="Comma 18 3 3 2 3" xfId="4360" xr:uid="{00000000-0005-0000-0000-000012040000}"/>
    <cellStyle name="Comma 18 3 3 2 4" xfId="3308" xr:uid="{00000000-0005-0000-0000-000013040000}"/>
    <cellStyle name="Comma 18 3 3 3" xfId="1574" xr:uid="{00000000-0005-0000-0000-000014040000}"/>
    <cellStyle name="Comma 18 3 3 3 2" xfId="3860" xr:uid="{00000000-0005-0000-0000-000015040000}"/>
    <cellStyle name="Comma 18 3 3 4" xfId="4240" xr:uid="{00000000-0005-0000-0000-000016040000}"/>
    <cellStyle name="Comma 18 3 3 5" xfId="2733" xr:uid="{00000000-0005-0000-0000-000017040000}"/>
    <cellStyle name="Comma 18 3 4" xfId="209" xr:uid="{00000000-0005-0000-0000-000018040000}"/>
    <cellStyle name="Comma 18 3 4 2" xfId="210" xr:uid="{00000000-0005-0000-0000-000019040000}"/>
    <cellStyle name="Comma 18 3 4 2 2" xfId="2294" xr:uid="{00000000-0005-0000-0000-00001A040000}"/>
    <cellStyle name="Comma 18 3 4 2 2 2" xfId="3739" xr:uid="{00000000-0005-0000-0000-00001B040000}"/>
    <cellStyle name="Comma 18 3 4 2 3" xfId="3608" xr:uid="{00000000-0005-0000-0000-00001C040000}"/>
    <cellStyle name="Comma 18 3 4 2 4" xfId="3454" xr:uid="{00000000-0005-0000-0000-00001D040000}"/>
    <cellStyle name="Comma 18 3 4 3" xfId="1720" xr:uid="{00000000-0005-0000-0000-00001E040000}"/>
    <cellStyle name="Comma 18 3 4 3 2" xfId="4078" xr:uid="{00000000-0005-0000-0000-00001F040000}"/>
    <cellStyle name="Comma 18 3 4 4" xfId="4452" xr:uid="{00000000-0005-0000-0000-000020040000}"/>
    <cellStyle name="Comma 18 3 4 5" xfId="2879" xr:uid="{00000000-0005-0000-0000-000021040000}"/>
    <cellStyle name="Comma 18 3 5" xfId="211" xr:uid="{00000000-0005-0000-0000-000022040000}"/>
    <cellStyle name="Comma 18 3 5 2" xfId="1869" xr:uid="{00000000-0005-0000-0000-000023040000}"/>
    <cellStyle name="Comma 18 3 5 2 2" xfId="3952" xr:uid="{00000000-0005-0000-0000-000024040000}"/>
    <cellStyle name="Comma 18 3 5 3" xfId="4324" xr:uid="{00000000-0005-0000-0000-000025040000}"/>
    <cellStyle name="Comma 18 3 5 4" xfId="3029" xr:uid="{00000000-0005-0000-0000-000026040000}"/>
    <cellStyle name="Comma 18 3 6" xfId="1294" xr:uid="{00000000-0005-0000-0000-000027040000}"/>
    <cellStyle name="Comma 18 3 6 2" xfId="3824" xr:uid="{00000000-0005-0000-0000-000028040000}"/>
    <cellStyle name="Comma 18 3 7" xfId="4204" xr:uid="{00000000-0005-0000-0000-000029040000}"/>
    <cellStyle name="Comma 18 3 8" xfId="2453" xr:uid="{00000000-0005-0000-0000-00002A040000}"/>
    <cellStyle name="Comma 18 4" xfId="212" xr:uid="{00000000-0005-0000-0000-00002B040000}"/>
    <cellStyle name="Comma 18 4 2" xfId="213" xr:uid="{00000000-0005-0000-0000-00002C040000}"/>
    <cellStyle name="Comma 18 4 2 2" xfId="1947" xr:uid="{00000000-0005-0000-0000-00002D040000}"/>
    <cellStyle name="Comma 18 4 2 2 2" xfId="3703" xr:uid="{00000000-0005-0000-0000-00002E040000}"/>
    <cellStyle name="Comma 18 4 2 3" xfId="3572" xr:uid="{00000000-0005-0000-0000-00002F040000}"/>
    <cellStyle name="Comma 18 4 2 4" xfId="3107" xr:uid="{00000000-0005-0000-0000-000030040000}"/>
    <cellStyle name="Comma 18 4 3" xfId="1372" xr:uid="{00000000-0005-0000-0000-000031040000}"/>
    <cellStyle name="Comma 18 4 3 2" xfId="3530" xr:uid="{00000000-0005-0000-0000-000032040000}"/>
    <cellStyle name="Comma 18 4 4" xfId="4037" xr:uid="{00000000-0005-0000-0000-000033040000}"/>
    <cellStyle name="Comma 18 4 5" xfId="2531" xr:uid="{00000000-0005-0000-0000-000034040000}"/>
    <cellStyle name="Comma 18 5" xfId="214" xr:uid="{00000000-0005-0000-0000-000035040000}"/>
    <cellStyle name="Comma 18 5 2" xfId="215" xr:uid="{00000000-0005-0000-0000-000036040000}"/>
    <cellStyle name="Comma 18 5 2 2" xfId="2082" xr:uid="{00000000-0005-0000-0000-000037040000}"/>
    <cellStyle name="Comma 18 5 2 2 2" xfId="4411" xr:uid="{00000000-0005-0000-0000-000038040000}"/>
    <cellStyle name="Comma 18 5 2 3" xfId="3911" xr:uid="{00000000-0005-0000-0000-000039040000}"/>
    <cellStyle name="Comma 18 5 2 4" xfId="3242" xr:uid="{00000000-0005-0000-0000-00003A040000}"/>
    <cellStyle name="Comma 18 5 3" xfId="1508" xr:uid="{00000000-0005-0000-0000-00003B040000}"/>
    <cellStyle name="Comma 18 5 3 2" xfId="4283" xr:uid="{00000000-0005-0000-0000-00003C040000}"/>
    <cellStyle name="Comma 18 5 4" xfId="3783" xr:uid="{00000000-0005-0000-0000-00003D040000}"/>
    <cellStyle name="Comma 18 5 5" xfId="2667" xr:uid="{00000000-0005-0000-0000-00003E040000}"/>
    <cellStyle name="Comma 18 6" xfId="216" xr:uid="{00000000-0005-0000-0000-00003F040000}"/>
    <cellStyle name="Comma 18 6 2" xfId="217" xr:uid="{00000000-0005-0000-0000-000040040000}"/>
    <cellStyle name="Comma 18 6 2 2" xfId="2228" xr:uid="{00000000-0005-0000-0000-000041040000}"/>
    <cellStyle name="Comma 18 6 2 2 2" xfId="4164" xr:uid="{00000000-0005-0000-0000-000042040000}"/>
    <cellStyle name="Comma 18 6 2 3" xfId="3662" xr:uid="{00000000-0005-0000-0000-000043040000}"/>
    <cellStyle name="Comma 18 6 2 4" xfId="3388" xr:uid="{00000000-0005-0000-0000-000044040000}"/>
    <cellStyle name="Comma 18 6 3" xfId="1654" xr:uid="{00000000-0005-0000-0000-000045040000}"/>
    <cellStyle name="Comma 18 6 3 2" xfId="4113" xr:uid="{00000000-0005-0000-0000-000046040000}"/>
    <cellStyle name="Comma 18 6 4" xfId="4487" xr:uid="{00000000-0005-0000-0000-000047040000}"/>
    <cellStyle name="Comma 18 6 5" xfId="2813" xr:uid="{00000000-0005-0000-0000-000048040000}"/>
    <cellStyle name="Comma 18 7" xfId="218" xr:uid="{00000000-0005-0000-0000-000049040000}"/>
    <cellStyle name="Comma 18 7 2" xfId="1803" xr:uid="{00000000-0005-0000-0000-00004A040000}"/>
    <cellStyle name="Comma 18 7 2 2" xfId="3987" xr:uid="{00000000-0005-0000-0000-00004B040000}"/>
    <cellStyle name="Comma 18 7 3" xfId="4359" xr:uid="{00000000-0005-0000-0000-00004C040000}"/>
    <cellStyle name="Comma 18 7 4" xfId="2963" xr:uid="{00000000-0005-0000-0000-00004D040000}"/>
    <cellStyle name="Comma 18 8" xfId="1228" xr:uid="{00000000-0005-0000-0000-00004E040000}"/>
    <cellStyle name="Comma 18 8 2" xfId="3859" xr:uid="{00000000-0005-0000-0000-00004F040000}"/>
    <cellStyle name="Comma 18 9" xfId="4239" xr:uid="{00000000-0005-0000-0000-000050040000}"/>
    <cellStyle name="Comma 19" xfId="219" xr:uid="{00000000-0005-0000-0000-000051040000}"/>
    <cellStyle name="Comma 19 10" xfId="2388" xr:uid="{00000000-0005-0000-0000-000052040000}"/>
    <cellStyle name="Comma 19 2" xfId="220" xr:uid="{00000000-0005-0000-0000-000053040000}"/>
    <cellStyle name="Comma 19 2 2" xfId="221" xr:uid="{00000000-0005-0000-0000-000054040000}"/>
    <cellStyle name="Comma 19 2 2 2" xfId="222" xr:uid="{00000000-0005-0000-0000-000055040000}"/>
    <cellStyle name="Comma 19 2 2 2 2" xfId="1994" xr:uid="{00000000-0005-0000-0000-000056040000}"/>
    <cellStyle name="Comma 19 2 2 2 2 2" xfId="3738" xr:uid="{00000000-0005-0000-0000-000057040000}"/>
    <cellStyle name="Comma 19 2 2 2 3" xfId="3607" xr:uid="{00000000-0005-0000-0000-000058040000}"/>
    <cellStyle name="Comma 19 2 2 2 4" xfId="3154" xr:uid="{00000000-0005-0000-0000-000059040000}"/>
    <cellStyle name="Comma 19 2 2 3" xfId="1420" xr:uid="{00000000-0005-0000-0000-00005A040000}"/>
    <cellStyle name="Comma 19 2 2 3 2" xfId="4077" xr:uid="{00000000-0005-0000-0000-00005B040000}"/>
    <cellStyle name="Comma 19 2 2 4" xfId="4451" xr:uid="{00000000-0005-0000-0000-00005C040000}"/>
    <cellStyle name="Comma 19 2 2 5" xfId="2579" xr:uid="{00000000-0005-0000-0000-00005D040000}"/>
    <cellStyle name="Comma 19 2 3" xfId="223" xr:uid="{00000000-0005-0000-0000-00005E040000}"/>
    <cellStyle name="Comma 19 2 3 2" xfId="224" xr:uid="{00000000-0005-0000-0000-00005F040000}"/>
    <cellStyle name="Comma 19 2 3 2 2" xfId="2130" xr:uid="{00000000-0005-0000-0000-000060040000}"/>
    <cellStyle name="Comma 19 2 3 2 2 2" xfId="3951" xr:uid="{00000000-0005-0000-0000-000061040000}"/>
    <cellStyle name="Comma 19 2 3 2 3" xfId="4323" xr:uid="{00000000-0005-0000-0000-000062040000}"/>
    <cellStyle name="Comma 19 2 3 2 4" xfId="3290" xr:uid="{00000000-0005-0000-0000-000063040000}"/>
    <cellStyle name="Comma 19 2 3 3" xfId="1556" xr:uid="{00000000-0005-0000-0000-000064040000}"/>
    <cellStyle name="Comma 19 2 3 3 2" xfId="3823" xr:uid="{00000000-0005-0000-0000-000065040000}"/>
    <cellStyle name="Comma 19 2 3 4" xfId="4203" xr:uid="{00000000-0005-0000-0000-000066040000}"/>
    <cellStyle name="Comma 19 2 3 5" xfId="2715" xr:uid="{00000000-0005-0000-0000-000067040000}"/>
    <cellStyle name="Comma 19 2 4" xfId="225" xr:uid="{00000000-0005-0000-0000-000068040000}"/>
    <cellStyle name="Comma 19 2 4 2" xfId="226" xr:uid="{00000000-0005-0000-0000-000069040000}"/>
    <cellStyle name="Comma 19 2 4 2 2" xfId="2276" xr:uid="{00000000-0005-0000-0000-00006A040000}"/>
    <cellStyle name="Comma 19 2 4 2 2 2" xfId="3702" xr:uid="{00000000-0005-0000-0000-00006B040000}"/>
    <cellStyle name="Comma 19 2 4 2 3" xfId="3571" xr:uid="{00000000-0005-0000-0000-00006C040000}"/>
    <cellStyle name="Comma 19 2 4 2 4" xfId="3436" xr:uid="{00000000-0005-0000-0000-00006D040000}"/>
    <cellStyle name="Comma 19 2 4 3" xfId="1702" xr:uid="{00000000-0005-0000-0000-00006E040000}"/>
    <cellStyle name="Comma 19 2 4 3 2" xfId="3529" xr:uid="{00000000-0005-0000-0000-00006F040000}"/>
    <cellStyle name="Comma 19 2 4 4" xfId="4036" xr:uid="{00000000-0005-0000-0000-000070040000}"/>
    <cellStyle name="Comma 19 2 4 5" xfId="2861" xr:uid="{00000000-0005-0000-0000-000071040000}"/>
    <cellStyle name="Comma 19 2 5" xfId="227" xr:uid="{00000000-0005-0000-0000-000072040000}"/>
    <cellStyle name="Comma 19 2 5 2" xfId="1851" xr:uid="{00000000-0005-0000-0000-000073040000}"/>
    <cellStyle name="Comma 19 2 5 2 2" xfId="4410" xr:uid="{00000000-0005-0000-0000-000074040000}"/>
    <cellStyle name="Comma 19 2 5 3" xfId="3910" xr:uid="{00000000-0005-0000-0000-000075040000}"/>
    <cellStyle name="Comma 19 2 5 4" xfId="3011" xr:uid="{00000000-0005-0000-0000-000076040000}"/>
    <cellStyle name="Comma 19 2 6" xfId="1276" xr:uid="{00000000-0005-0000-0000-000077040000}"/>
    <cellStyle name="Comma 19 2 6 2" xfId="4282" xr:uid="{00000000-0005-0000-0000-000078040000}"/>
    <cellStyle name="Comma 19 2 7" xfId="3782" xr:uid="{00000000-0005-0000-0000-000079040000}"/>
    <cellStyle name="Comma 19 2 8" xfId="2435" xr:uid="{00000000-0005-0000-0000-00007A040000}"/>
    <cellStyle name="Comma 19 3" xfId="228" xr:uid="{00000000-0005-0000-0000-00007B040000}"/>
    <cellStyle name="Comma 19 3 2" xfId="229" xr:uid="{00000000-0005-0000-0000-00007C040000}"/>
    <cellStyle name="Comma 19 3 2 2" xfId="230" xr:uid="{00000000-0005-0000-0000-00007D040000}"/>
    <cellStyle name="Comma 19 3 2 2 2" xfId="2013" xr:uid="{00000000-0005-0000-0000-00007E040000}"/>
    <cellStyle name="Comma 19 3 2 2 2 2" xfId="4163" xr:uid="{00000000-0005-0000-0000-00007F040000}"/>
    <cellStyle name="Comma 19 3 2 2 3" xfId="3661" xr:uid="{00000000-0005-0000-0000-000080040000}"/>
    <cellStyle name="Comma 19 3 2 2 4" xfId="3173" xr:uid="{00000000-0005-0000-0000-000081040000}"/>
    <cellStyle name="Comma 19 3 2 3" xfId="1439" xr:uid="{00000000-0005-0000-0000-000082040000}"/>
    <cellStyle name="Comma 19 3 2 3 2" xfId="4112" xr:uid="{00000000-0005-0000-0000-000083040000}"/>
    <cellStyle name="Comma 19 3 2 4" xfId="4486" xr:uid="{00000000-0005-0000-0000-000084040000}"/>
    <cellStyle name="Comma 19 3 2 5" xfId="2598" xr:uid="{00000000-0005-0000-0000-000085040000}"/>
    <cellStyle name="Comma 19 3 3" xfId="231" xr:uid="{00000000-0005-0000-0000-000086040000}"/>
    <cellStyle name="Comma 19 3 3 2" xfId="232" xr:uid="{00000000-0005-0000-0000-000087040000}"/>
    <cellStyle name="Comma 19 3 3 2 2" xfId="2149" xr:uid="{00000000-0005-0000-0000-000088040000}"/>
    <cellStyle name="Comma 19 3 3 2 2 2" xfId="3986" xr:uid="{00000000-0005-0000-0000-000089040000}"/>
    <cellStyle name="Comma 19 3 3 2 3" xfId="4358" xr:uid="{00000000-0005-0000-0000-00008A040000}"/>
    <cellStyle name="Comma 19 3 3 2 4" xfId="3309" xr:uid="{00000000-0005-0000-0000-00008B040000}"/>
    <cellStyle name="Comma 19 3 3 3" xfId="1575" xr:uid="{00000000-0005-0000-0000-00008C040000}"/>
    <cellStyle name="Comma 19 3 3 3 2" xfId="3858" xr:uid="{00000000-0005-0000-0000-00008D040000}"/>
    <cellStyle name="Comma 19 3 3 4" xfId="4238" xr:uid="{00000000-0005-0000-0000-00008E040000}"/>
    <cellStyle name="Comma 19 3 3 5" xfId="2734" xr:uid="{00000000-0005-0000-0000-00008F040000}"/>
    <cellStyle name="Comma 19 3 4" xfId="233" xr:uid="{00000000-0005-0000-0000-000090040000}"/>
    <cellStyle name="Comma 19 3 4 2" xfId="234" xr:uid="{00000000-0005-0000-0000-000091040000}"/>
    <cellStyle name="Comma 19 3 4 2 2" xfId="2295" xr:uid="{00000000-0005-0000-0000-000092040000}"/>
    <cellStyle name="Comma 19 3 4 2 2 2" xfId="3737" xr:uid="{00000000-0005-0000-0000-000093040000}"/>
    <cellStyle name="Comma 19 3 4 2 3" xfId="3606" xr:uid="{00000000-0005-0000-0000-000094040000}"/>
    <cellStyle name="Comma 19 3 4 2 4" xfId="3455" xr:uid="{00000000-0005-0000-0000-000095040000}"/>
    <cellStyle name="Comma 19 3 4 3" xfId="1721" xr:uid="{00000000-0005-0000-0000-000096040000}"/>
    <cellStyle name="Comma 19 3 4 3 2" xfId="4076" xr:uid="{00000000-0005-0000-0000-000097040000}"/>
    <cellStyle name="Comma 19 3 4 4" xfId="4450" xr:uid="{00000000-0005-0000-0000-000098040000}"/>
    <cellStyle name="Comma 19 3 4 5" xfId="2880" xr:uid="{00000000-0005-0000-0000-000099040000}"/>
    <cellStyle name="Comma 19 3 5" xfId="235" xr:uid="{00000000-0005-0000-0000-00009A040000}"/>
    <cellStyle name="Comma 19 3 5 2" xfId="1870" xr:uid="{00000000-0005-0000-0000-00009B040000}"/>
    <cellStyle name="Comma 19 3 5 2 2" xfId="3950" xr:uid="{00000000-0005-0000-0000-00009C040000}"/>
    <cellStyle name="Comma 19 3 5 3" xfId="4322" xr:uid="{00000000-0005-0000-0000-00009D040000}"/>
    <cellStyle name="Comma 19 3 5 4" xfId="3030" xr:uid="{00000000-0005-0000-0000-00009E040000}"/>
    <cellStyle name="Comma 19 3 6" xfId="1295" xr:uid="{00000000-0005-0000-0000-00009F040000}"/>
    <cellStyle name="Comma 19 3 6 2" xfId="3822" xr:uid="{00000000-0005-0000-0000-0000A0040000}"/>
    <cellStyle name="Comma 19 3 7" xfId="4202" xr:uid="{00000000-0005-0000-0000-0000A1040000}"/>
    <cellStyle name="Comma 19 3 8" xfId="2454" xr:uid="{00000000-0005-0000-0000-0000A2040000}"/>
    <cellStyle name="Comma 19 4" xfId="236" xr:uid="{00000000-0005-0000-0000-0000A3040000}"/>
    <cellStyle name="Comma 19 4 2" xfId="237" xr:uid="{00000000-0005-0000-0000-0000A4040000}"/>
    <cellStyle name="Comma 19 4 2 2" xfId="1948" xr:uid="{00000000-0005-0000-0000-0000A5040000}"/>
    <cellStyle name="Comma 19 4 2 2 2" xfId="3701" xr:uid="{00000000-0005-0000-0000-0000A6040000}"/>
    <cellStyle name="Comma 19 4 2 3" xfId="3570" xr:uid="{00000000-0005-0000-0000-0000A7040000}"/>
    <cellStyle name="Comma 19 4 2 4" xfId="3108" xr:uid="{00000000-0005-0000-0000-0000A8040000}"/>
    <cellStyle name="Comma 19 4 3" xfId="1373" xr:uid="{00000000-0005-0000-0000-0000A9040000}"/>
    <cellStyle name="Comma 19 4 3 2" xfId="3528" xr:uid="{00000000-0005-0000-0000-0000AA040000}"/>
    <cellStyle name="Comma 19 4 4" xfId="4035" xr:uid="{00000000-0005-0000-0000-0000AB040000}"/>
    <cellStyle name="Comma 19 4 5" xfId="2532" xr:uid="{00000000-0005-0000-0000-0000AC040000}"/>
    <cellStyle name="Comma 19 5" xfId="238" xr:uid="{00000000-0005-0000-0000-0000AD040000}"/>
    <cellStyle name="Comma 19 5 2" xfId="239" xr:uid="{00000000-0005-0000-0000-0000AE040000}"/>
    <cellStyle name="Comma 19 5 2 2" xfId="2083" xr:uid="{00000000-0005-0000-0000-0000AF040000}"/>
    <cellStyle name="Comma 19 5 2 2 2" xfId="4409" xr:uid="{00000000-0005-0000-0000-0000B0040000}"/>
    <cellStyle name="Comma 19 5 2 3" xfId="3909" xr:uid="{00000000-0005-0000-0000-0000B1040000}"/>
    <cellStyle name="Comma 19 5 2 4" xfId="3243" xr:uid="{00000000-0005-0000-0000-0000B2040000}"/>
    <cellStyle name="Comma 19 5 3" xfId="1509" xr:uid="{00000000-0005-0000-0000-0000B3040000}"/>
    <cellStyle name="Comma 19 5 3 2" xfId="4281" xr:uid="{00000000-0005-0000-0000-0000B4040000}"/>
    <cellStyle name="Comma 19 5 4" xfId="3781" xr:uid="{00000000-0005-0000-0000-0000B5040000}"/>
    <cellStyle name="Comma 19 5 5" xfId="2668" xr:uid="{00000000-0005-0000-0000-0000B6040000}"/>
    <cellStyle name="Comma 19 6" xfId="240" xr:uid="{00000000-0005-0000-0000-0000B7040000}"/>
    <cellStyle name="Comma 19 6 2" xfId="241" xr:uid="{00000000-0005-0000-0000-0000B8040000}"/>
    <cellStyle name="Comma 19 6 2 2" xfId="2229" xr:uid="{00000000-0005-0000-0000-0000B9040000}"/>
    <cellStyle name="Comma 19 6 2 2 2" xfId="4162" xr:uid="{00000000-0005-0000-0000-0000BA040000}"/>
    <cellStyle name="Comma 19 6 2 3" xfId="3660" xr:uid="{00000000-0005-0000-0000-0000BB040000}"/>
    <cellStyle name="Comma 19 6 2 4" xfId="3389" xr:uid="{00000000-0005-0000-0000-0000BC040000}"/>
    <cellStyle name="Comma 19 6 3" xfId="1655" xr:uid="{00000000-0005-0000-0000-0000BD040000}"/>
    <cellStyle name="Comma 19 6 3 2" xfId="4111" xr:uid="{00000000-0005-0000-0000-0000BE040000}"/>
    <cellStyle name="Comma 19 6 4" xfId="4485" xr:uid="{00000000-0005-0000-0000-0000BF040000}"/>
    <cellStyle name="Comma 19 6 5" xfId="2814" xr:uid="{00000000-0005-0000-0000-0000C0040000}"/>
    <cellStyle name="Comma 19 7" xfId="242" xr:uid="{00000000-0005-0000-0000-0000C1040000}"/>
    <cellStyle name="Comma 19 7 2" xfId="1804" xr:uid="{00000000-0005-0000-0000-0000C2040000}"/>
    <cellStyle name="Comma 19 7 2 2" xfId="3985" xr:uid="{00000000-0005-0000-0000-0000C3040000}"/>
    <cellStyle name="Comma 19 7 3" xfId="4357" xr:uid="{00000000-0005-0000-0000-0000C4040000}"/>
    <cellStyle name="Comma 19 7 4" xfId="2964" xr:uid="{00000000-0005-0000-0000-0000C5040000}"/>
    <cellStyle name="Comma 19 8" xfId="1229" xr:uid="{00000000-0005-0000-0000-0000C6040000}"/>
    <cellStyle name="Comma 19 8 2" xfId="3857" xr:uid="{00000000-0005-0000-0000-0000C7040000}"/>
    <cellStyle name="Comma 19 9" xfId="4237" xr:uid="{00000000-0005-0000-0000-0000C8040000}"/>
    <cellStyle name="Comma 2" xfId="243" xr:uid="{00000000-0005-0000-0000-0000C9040000}"/>
    <cellStyle name="Comma 2 10" xfId="3736" xr:uid="{00000000-0005-0000-0000-0000CA040000}"/>
    <cellStyle name="Comma 2 11" xfId="2356" xr:uid="{00000000-0005-0000-0000-0000CB040000}"/>
    <cellStyle name="Comma 2 2" xfId="244" xr:uid="{00000000-0005-0000-0000-0000CC040000}"/>
    <cellStyle name="Comma 2 2 2" xfId="245" xr:uid="{00000000-0005-0000-0000-0000CD040000}"/>
    <cellStyle name="Comma 2 2 2 2" xfId="246" xr:uid="{00000000-0005-0000-0000-0000CE040000}"/>
    <cellStyle name="Comma 2 2 2 2 2" xfId="1962" xr:uid="{00000000-0005-0000-0000-0000CF040000}"/>
    <cellStyle name="Comma 2 2 2 2 2 2" xfId="3605" xr:uid="{00000000-0005-0000-0000-0000D0040000}"/>
    <cellStyle name="Comma 2 2 2 2 3" xfId="4075" xr:uid="{00000000-0005-0000-0000-0000D1040000}"/>
    <cellStyle name="Comma 2 2 2 2 4" xfId="3122" xr:uid="{00000000-0005-0000-0000-0000D2040000}"/>
    <cellStyle name="Comma 2 2 2 3" xfId="1388" xr:uid="{00000000-0005-0000-0000-0000D3040000}"/>
    <cellStyle name="Comma 2 2 2 3 2" xfId="4449" xr:uid="{00000000-0005-0000-0000-0000D4040000}"/>
    <cellStyle name="Comma 2 2 2 4" xfId="3949" xr:uid="{00000000-0005-0000-0000-0000D5040000}"/>
    <cellStyle name="Comma 2 2 2 5" xfId="2547" xr:uid="{00000000-0005-0000-0000-0000D6040000}"/>
    <cellStyle name="Comma 2 2 3" xfId="247" xr:uid="{00000000-0005-0000-0000-0000D7040000}"/>
    <cellStyle name="Comma 2 2 3 2" xfId="248" xr:uid="{00000000-0005-0000-0000-0000D8040000}"/>
    <cellStyle name="Comma 2 2 3 2 2" xfId="2098" xr:uid="{00000000-0005-0000-0000-0000D9040000}"/>
    <cellStyle name="Comma 2 2 3 2 2 2" xfId="4321" xr:uid="{00000000-0005-0000-0000-0000DA040000}"/>
    <cellStyle name="Comma 2 2 3 2 3" xfId="3821" xr:uid="{00000000-0005-0000-0000-0000DB040000}"/>
    <cellStyle name="Comma 2 2 3 2 4" xfId="3258" xr:uid="{00000000-0005-0000-0000-0000DC040000}"/>
    <cellStyle name="Comma 2 2 3 3" xfId="1524" xr:uid="{00000000-0005-0000-0000-0000DD040000}"/>
    <cellStyle name="Comma 2 2 3 3 2" xfId="4201" xr:uid="{00000000-0005-0000-0000-0000DE040000}"/>
    <cellStyle name="Comma 2 2 3 4" xfId="3700" xr:uid="{00000000-0005-0000-0000-0000DF040000}"/>
    <cellStyle name="Comma 2 2 3 5" xfId="2683" xr:uid="{00000000-0005-0000-0000-0000E0040000}"/>
    <cellStyle name="Comma 2 2 4" xfId="249" xr:uid="{00000000-0005-0000-0000-0000E1040000}"/>
    <cellStyle name="Comma 2 2 4 2" xfId="250" xr:uid="{00000000-0005-0000-0000-0000E2040000}"/>
    <cellStyle name="Comma 2 2 4 2 2" xfId="2244" xr:uid="{00000000-0005-0000-0000-0000E3040000}"/>
    <cellStyle name="Comma 2 2 4 2 2 2" xfId="3569" xr:uid="{00000000-0005-0000-0000-0000E4040000}"/>
    <cellStyle name="Comma 2 2 4 2 3" xfId="3527" xr:uid="{00000000-0005-0000-0000-0000E5040000}"/>
    <cellStyle name="Comma 2 2 4 2 4" xfId="3404" xr:uid="{00000000-0005-0000-0000-0000E6040000}"/>
    <cellStyle name="Comma 2 2 4 3" xfId="1670" xr:uid="{00000000-0005-0000-0000-0000E7040000}"/>
    <cellStyle name="Comma 2 2 4 3 2" xfId="4034" xr:uid="{00000000-0005-0000-0000-0000E8040000}"/>
    <cellStyle name="Comma 2 2 4 4" xfId="4408" xr:uid="{00000000-0005-0000-0000-0000E9040000}"/>
    <cellStyle name="Comma 2 2 4 5" xfId="2829" xr:uid="{00000000-0005-0000-0000-0000EA040000}"/>
    <cellStyle name="Comma 2 2 5" xfId="251" xr:uid="{00000000-0005-0000-0000-0000EB040000}"/>
    <cellStyle name="Comma 2 2 5 2" xfId="1819" xr:uid="{00000000-0005-0000-0000-0000EC040000}"/>
    <cellStyle name="Comma 2 2 5 2 2" xfId="3908" xr:uid="{00000000-0005-0000-0000-0000ED040000}"/>
    <cellStyle name="Comma 2 2 5 3" xfId="4280" xr:uid="{00000000-0005-0000-0000-0000EE040000}"/>
    <cellStyle name="Comma 2 2 5 4" xfId="2979" xr:uid="{00000000-0005-0000-0000-0000EF040000}"/>
    <cellStyle name="Comma 2 2 6" xfId="1244" xr:uid="{00000000-0005-0000-0000-0000F0040000}"/>
    <cellStyle name="Comma 2 2 6 2" xfId="3780" xr:uid="{00000000-0005-0000-0000-0000F1040000}"/>
    <cellStyle name="Comma 2 2 7" xfId="4161" xr:uid="{00000000-0005-0000-0000-0000F2040000}"/>
    <cellStyle name="Comma 2 2 8" xfId="2403" xr:uid="{00000000-0005-0000-0000-0000F3040000}"/>
    <cellStyle name="Comma 2 3" xfId="252" xr:uid="{00000000-0005-0000-0000-0000F4040000}"/>
    <cellStyle name="Comma 2 3 2" xfId="253" xr:uid="{00000000-0005-0000-0000-0000F5040000}"/>
    <cellStyle name="Comma 2 3 2 2" xfId="254" xr:uid="{00000000-0005-0000-0000-0000F6040000}"/>
    <cellStyle name="Comma 2 3 2 2 2" xfId="2014" xr:uid="{00000000-0005-0000-0000-0000F7040000}"/>
    <cellStyle name="Comma 2 3 2 2 2 2" xfId="3659" xr:uid="{00000000-0005-0000-0000-0000F8040000}"/>
    <cellStyle name="Comma 2 3 2 2 3" xfId="4110" xr:uid="{00000000-0005-0000-0000-0000F9040000}"/>
    <cellStyle name="Comma 2 3 2 2 4" xfId="3174" xr:uid="{00000000-0005-0000-0000-0000FA040000}"/>
    <cellStyle name="Comma 2 3 2 3" xfId="1440" xr:uid="{00000000-0005-0000-0000-0000FB040000}"/>
    <cellStyle name="Comma 2 3 2 3 2" xfId="4484" xr:uid="{00000000-0005-0000-0000-0000FC040000}"/>
    <cellStyle name="Comma 2 3 2 4" xfId="3984" xr:uid="{00000000-0005-0000-0000-0000FD040000}"/>
    <cellStyle name="Comma 2 3 2 5" xfId="2599" xr:uid="{00000000-0005-0000-0000-0000FE040000}"/>
    <cellStyle name="Comma 2 3 3" xfId="255" xr:uid="{00000000-0005-0000-0000-0000FF040000}"/>
    <cellStyle name="Comma 2 3 3 2" xfId="256" xr:uid="{00000000-0005-0000-0000-000000050000}"/>
    <cellStyle name="Comma 2 3 3 2 2" xfId="2150" xr:uid="{00000000-0005-0000-0000-000001050000}"/>
    <cellStyle name="Comma 2 3 3 2 2 2" xfId="4356" xr:uid="{00000000-0005-0000-0000-000002050000}"/>
    <cellStyle name="Comma 2 3 3 2 3" xfId="3856" xr:uid="{00000000-0005-0000-0000-000003050000}"/>
    <cellStyle name="Comma 2 3 3 2 4" xfId="3310" xr:uid="{00000000-0005-0000-0000-000004050000}"/>
    <cellStyle name="Comma 2 3 3 3" xfId="1576" xr:uid="{00000000-0005-0000-0000-000005050000}"/>
    <cellStyle name="Comma 2 3 3 3 2" xfId="4236" xr:uid="{00000000-0005-0000-0000-000006050000}"/>
    <cellStyle name="Comma 2 3 3 4" xfId="3735" xr:uid="{00000000-0005-0000-0000-000007050000}"/>
    <cellStyle name="Comma 2 3 3 5" xfId="2735" xr:uid="{00000000-0005-0000-0000-000008050000}"/>
    <cellStyle name="Comma 2 3 4" xfId="257" xr:uid="{00000000-0005-0000-0000-000009050000}"/>
    <cellStyle name="Comma 2 3 4 2" xfId="258" xr:uid="{00000000-0005-0000-0000-00000A050000}"/>
    <cellStyle name="Comma 2 3 4 2 2" xfId="2296" xr:uid="{00000000-0005-0000-0000-00000B050000}"/>
    <cellStyle name="Comma 2 3 4 2 2 2" xfId="3604" xr:uid="{00000000-0005-0000-0000-00000C050000}"/>
    <cellStyle name="Comma 2 3 4 2 3" xfId="4074" xr:uid="{00000000-0005-0000-0000-00000D050000}"/>
    <cellStyle name="Comma 2 3 4 2 4" xfId="3456" xr:uid="{00000000-0005-0000-0000-00000E050000}"/>
    <cellStyle name="Comma 2 3 4 3" xfId="1722" xr:uid="{00000000-0005-0000-0000-00000F050000}"/>
    <cellStyle name="Comma 2 3 4 3 2" xfId="4448" xr:uid="{00000000-0005-0000-0000-000010050000}"/>
    <cellStyle name="Comma 2 3 4 4" xfId="3948" xr:uid="{00000000-0005-0000-0000-000011050000}"/>
    <cellStyle name="Comma 2 3 4 5" xfId="2881" xr:uid="{00000000-0005-0000-0000-000012050000}"/>
    <cellStyle name="Comma 2 3 5" xfId="259" xr:uid="{00000000-0005-0000-0000-000013050000}"/>
    <cellStyle name="Comma 2 3 5 2" xfId="1871" xr:uid="{00000000-0005-0000-0000-000014050000}"/>
    <cellStyle name="Comma 2 3 5 2 2" xfId="4320" xr:uid="{00000000-0005-0000-0000-000015050000}"/>
    <cellStyle name="Comma 2 3 5 3" xfId="3820" xr:uid="{00000000-0005-0000-0000-000016050000}"/>
    <cellStyle name="Comma 2 3 5 4" xfId="3031" xr:uid="{00000000-0005-0000-0000-000017050000}"/>
    <cellStyle name="Comma 2 3 6" xfId="1296" xr:uid="{00000000-0005-0000-0000-000018050000}"/>
    <cellStyle name="Comma 2 3 6 2" xfId="4200" xr:uid="{00000000-0005-0000-0000-000019050000}"/>
    <cellStyle name="Comma 2 3 7" xfId="3699" xr:uid="{00000000-0005-0000-0000-00001A050000}"/>
    <cellStyle name="Comma 2 3 8" xfId="2455" xr:uid="{00000000-0005-0000-0000-00001B050000}"/>
    <cellStyle name="Comma 2 4" xfId="260" xr:uid="{00000000-0005-0000-0000-00001C050000}"/>
    <cellStyle name="Comma 2 4 2" xfId="261" xr:uid="{00000000-0005-0000-0000-00001D050000}"/>
    <cellStyle name="Comma 2 4 2 2" xfId="1916" xr:uid="{00000000-0005-0000-0000-00001E050000}"/>
    <cellStyle name="Comma 2 4 2 2 2" xfId="3568" xr:uid="{00000000-0005-0000-0000-00001F050000}"/>
    <cellStyle name="Comma 2 4 2 3" xfId="3526" xr:uid="{00000000-0005-0000-0000-000020050000}"/>
    <cellStyle name="Comma 2 4 2 4" xfId="3076" xr:uid="{00000000-0005-0000-0000-000021050000}"/>
    <cellStyle name="Comma 2 4 3" xfId="1341" xr:uid="{00000000-0005-0000-0000-000022050000}"/>
    <cellStyle name="Comma 2 4 3 2" xfId="4033" xr:uid="{00000000-0005-0000-0000-000023050000}"/>
    <cellStyle name="Comma 2 4 4" xfId="4407" xr:uid="{00000000-0005-0000-0000-000024050000}"/>
    <cellStyle name="Comma 2 4 5" xfId="2500" xr:uid="{00000000-0005-0000-0000-000025050000}"/>
    <cellStyle name="Comma 2 5" xfId="262" xr:uid="{00000000-0005-0000-0000-000026050000}"/>
    <cellStyle name="Comma 2 5 2" xfId="263" xr:uid="{00000000-0005-0000-0000-000027050000}"/>
    <cellStyle name="Comma 2 5 2 2" xfId="2051" xr:uid="{00000000-0005-0000-0000-000028050000}"/>
    <cellStyle name="Comma 2 5 2 2 2" xfId="3907" xr:uid="{00000000-0005-0000-0000-000029050000}"/>
    <cellStyle name="Comma 2 5 2 3" xfId="4279" xr:uid="{00000000-0005-0000-0000-00002A050000}"/>
    <cellStyle name="Comma 2 5 2 4" xfId="3211" xr:uid="{00000000-0005-0000-0000-00002B050000}"/>
    <cellStyle name="Comma 2 5 3" xfId="1477" xr:uid="{00000000-0005-0000-0000-00002C050000}"/>
    <cellStyle name="Comma 2 5 3 2" xfId="3779" xr:uid="{00000000-0005-0000-0000-00002D050000}"/>
    <cellStyle name="Comma 2 5 4" xfId="4160" xr:uid="{00000000-0005-0000-0000-00002E050000}"/>
    <cellStyle name="Comma 2 5 5" xfId="2636" xr:uid="{00000000-0005-0000-0000-00002F050000}"/>
    <cellStyle name="Comma 2 6" xfId="264" xr:uid="{00000000-0005-0000-0000-000030050000}"/>
    <cellStyle name="Comma 2 6 2" xfId="265" xr:uid="{00000000-0005-0000-0000-000031050000}"/>
    <cellStyle name="Comma 2 6 2 2" xfId="2197" xr:uid="{00000000-0005-0000-0000-000032050000}"/>
    <cellStyle name="Comma 2 6 2 2 2" xfId="3658" xr:uid="{00000000-0005-0000-0000-000033050000}"/>
    <cellStyle name="Comma 2 6 2 3" xfId="4109" xr:uid="{00000000-0005-0000-0000-000034050000}"/>
    <cellStyle name="Comma 2 6 2 4" xfId="3357" xr:uid="{00000000-0005-0000-0000-000035050000}"/>
    <cellStyle name="Comma 2 6 3" xfId="1623" xr:uid="{00000000-0005-0000-0000-000036050000}"/>
    <cellStyle name="Comma 2 6 3 2" xfId="4483" xr:uid="{00000000-0005-0000-0000-000037050000}"/>
    <cellStyle name="Comma 2 6 4" xfId="3983" xr:uid="{00000000-0005-0000-0000-000038050000}"/>
    <cellStyle name="Comma 2 6 5" xfId="2782" xr:uid="{00000000-0005-0000-0000-000039050000}"/>
    <cellStyle name="Comma 2 7" xfId="266" xr:uid="{00000000-0005-0000-0000-00003A050000}"/>
    <cellStyle name="Comma 2 7 2" xfId="1772" xr:uid="{00000000-0005-0000-0000-00003B050000}"/>
    <cellStyle name="Comma 2 7 2 2" xfId="4355" xr:uid="{00000000-0005-0000-0000-00003C050000}"/>
    <cellStyle name="Comma 2 7 3" xfId="3855" xr:uid="{00000000-0005-0000-0000-00003D050000}"/>
    <cellStyle name="Comma 2 7 4" xfId="4235" xr:uid="{00000000-0005-0000-0000-00003E050000}"/>
    <cellStyle name="Comma 2 7 5" xfId="2932" xr:uid="{00000000-0005-0000-0000-00003F050000}"/>
    <cellStyle name="Comma 2 8" xfId="267" xr:uid="{00000000-0005-0000-0000-000040050000}"/>
    <cellStyle name="Comma 2 8 2" xfId="3734" xr:uid="{00000000-0005-0000-0000-000041050000}"/>
    <cellStyle name="Comma 2 9" xfId="1197" xr:uid="{00000000-0005-0000-0000-000042050000}"/>
    <cellStyle name="Comma 2 9 2" xfId="3603" xr:uid="{00000000-0005-0000-0000-000043050000}"/>
    <cellStyle name="Comma 20" xfId="268" xr:uid="{00000000-0005-0000-0000-000044050000}"/>
    <cellStyle name="Comma 20 10" xfId="2389" xr:uid="{00000000-0005-0000-0000-000045050000}"/>
    <cellStyle name="Comma 20 2" xfId="269" xr:uid="{00000000-0005-0000-0000-000046050000}"/>
    <cellStyle name="Comma 20 2 2" xfId="270" xr:uid="{00000000-0005-0000-0000-000047050000}"/>
    <cellStyle name="Comma 20 2 2 2" xfId="271" xr:uid="{00000000-0005-0000-0000-000048050000}"/>
    <cellStyle name="Comma 20 2 2 2 2" xfId="1995" xr:uid="{00000000-0005-0000-0000-000049050000}"/>
    <cellStyle name="Comma 20 2 2 2 2 2" xfId="4073" xr:uid="{00000000-0005-0000-0000-00004A050000}"/>
    <cellStyle name="Comma 20 2 2 2 3" xfId="4447" xr:uid="{00000000-0005-0000-0000-00004B050000}"/>
    <cellStyle name="Comma 20 2 2 2 4" xfId="3155" xr:uid="{00000000-0005-0000-0000-00004C050000}"/>
    <cellStyle name="Comma 20 2 2 3" xfId="1421" xr:uid="{00000000-0005-0000-0000-00004D050000}"/>
    <cellStyle name="Comma 20 2 2 3 2" xfId="3947" xr:uid="{00000000-0005-0000-0000-00004E050000}"/>
    <cellStyle name="Comma 20 2 2 4" xfId="4319" xr:uid="{00000000-0005-0000-0000-00004F050000}"/>
    <cellStyle name="Comma 20 2 2 5" xfId="2580" xr:uid="{00000000-0005-0000-0000-000050050000}"/>
    <cellStyle name="Comma 20 2 3" xfId="272" xr:uid="{00000000-0005-0000-0000-000051050000}"/>
    <cellStyle name="Comma 20 2 3 2" xfId="273" xr:uid="{00000000-0005-0000-0000-000052050000}"/>
    <cellStyle name="Comma 20 2 3 2 2" xfId="2131" xr:uid="{00000000-0005-0000-0000-000053050000}"/>
    <cellStyle name="Comma 20 2 3 2 2 2" xfId="3819" xr:uid="{00000000-0005-0000-0000-000054050000}"/>
    <cellStyle name="Comma 20 2 3 2 3" xfId="4199" xr:uid="{00000000-0005-0000-0000-000055050000}"/>
    <cellStyle name="Comma 20 2 3 2 4" xfId="3291" xr:uid="{00000000-0005-0000-0000-000056050000}"/>
    <cellStyle name="Comma 20 2 3 3" xfId="1557" xr:uid="{00000000-0005-0000-0000-000057050000}"/>
    <cellStyle name="Comma 20 2 3 3 2" xfId="3698" xr:uid="{00000000-0005-0000-0000-000058050000}"/>
    <cellStyle name="Comma 20 2 3 4" xfId="3567" xr:uid="{00000000-0005-0000-0000-000059050000}"/>
    <cellStyle name="Comma 20 2 3 5" xfId="2716" xr:uid="{00000000-0005-0000-0000-00005A050000}"/>
    <cellStyle name="Comma 20 2 4" xfId="274" xr:uid="{00000000-0005-0000-0000-00005B050000}"/>
    <cellStyle name="Comma 20 2 4 2" xfId="275" xr:uid="{00000000-0005-0000-0000-00005C050000}"/>
    <cellStyle name="Comma 20 2 4 2 2" xfId="2277" xr:uid="{00000000-0005-0000-0000-00005D050000}"/>
    <cellStyle name="Comma 20 2 4 2 2 2" xfId="3525" xr:uid="{00000000-0005-0000-0000-00005E050000}"/>
    <cellStyle name="Comma 20 2 4 2 3" xfId="4015" xr:uid="{00000000-0005-0000-0000-00005F050000}"/>
    <cellStyle name="Comma 20 2 4 2 4" xfId="3437" xr:uid="{00000000-0005-0000-0000-000060050000}"/>
    <cellStyle name="Comma 20 2 4 3" xfId="1703" xr:uid="{00000000-0005-0000-0000-000061050000}"/>
    <cellStyle name="Comma 20 2 4 3 2" xfId="4389" xr:uid="{00000000-0005-0000-0000-000062050000}"/>
    <cellStyle name="Comma 20 2 4 4" xfId="3889" xr:uid="{00000000-0005-0000-0000-000063050000}"/>
    <cellStyle name="Comma 20 2 4 5" xfId="2862" xr:uid="{00000000-0005-0000-0000-000064050000}"/>
    <cellStyle name="Comma 20 2 5" xfId="276" xr:uid="{00000000-0005-0000-0000-000065050000}"/>
    <cellStyle name="Comma 20 2 5 2" xfId="1852" xr:uid="{00000000-0005-0000-0000-000066050000}"/>
    <cellStyle name="Comma 20 2 5 2 2" xfId="4261" xr:uid="{00000000-0005-0000-0000-000067050000}"/>
    <cellStyle name="Comma 20 2 5 3" xfId="3761" xr:uid="{00000000-0005-0000-0000-000068050000}"/>
    <cellStyle name="Comma 20 2 5 4" xfId="3012" xr:uid="{00000000-0005-0000-0000-000069050000}"/>
    <cellStyle name="Comma 20 2 6" xfId="1277" xr:uid="{00000000-0005-0000-0000-00006A050000}"/>
    <cellStyle name="Comma 20 2 6 2" xfId="4142" xr:uid="{00000000-0005-0000-0000-00006B050000}"/>
    <cellStyle name="Comma 20 2 7" xfId="3640" xr:uid="{00000000-0005-0000-0000-00006C050000}"/>
    <cellStyle name="Comma 20 2 8" xfId="2436" xr:uid="{00000000-0005-0000-0000-00006D050000}"/>
    <cellStyle name="Comma 20 3" xfId="277" xr:uid="{00000000-0005-0000-0000-00006E050000}"/>
    <cellStyle name="Comma 20 3 2" xfId="278" xr:uid="{00000000-0005-0000-0000-00006F050000}"/>
    <cellStyle name="Comma 20 3 2 2" xfId="279" xr:uid="{00000000-0005-0000-0000-000070050000}"/>
    <cellStyle name="Comma 20 3 2 2 2" xfId="2015" xr:uid="{00000000-0005-0000-0000-000071050000}"/>
    <cellStyle name="Comma 20 3 2 2 2 2" xfId="4108" xr:uid="{00000000-0005-0000-0000-000072050000}"/>
    <cellStyle name="Comma 20 3 2 2 3" xfId="4482" xr:uid="{00000000-0005-0000-0000-000073050000}"/>
    <cellStyle name="Comma 20 3 2 2 4" xfId="3175" xr:uid="{00000000-0005-0000-0000-000074050000}"/>
    <cellStyle name="Comma 20 3 2 3" xfId="1441" xr:uid="{00000000-0005-0000-0000-000075050000}"/>
    <cellStyle name="Comma 20 3 2 3 2" xfId="3982" xr:uid="{00000000-0005-0000-0000-000076050000}"/>
    <cellStyle name="Comma 20 3 2 4" xfId="4354" xr:uid="{00000000-0005-0000-0000-000077050000}"/>
    <cellStyle name="Comma 20 3 2 5" xfId="2600" xr:uid="{00000000-0005-0000-0000-000078050000}"/>
    <cellStyle name="Comma 20 3 3" xfId="280" xr:uid="{00000000-0005-0000-0000-000079050000}"/>
    <cellStyle name="Comma 20 3 3 2" xfId="281" xr:uid="{00000000-0005-0000-0000-00007A050000}"/>
    <cellStyle name="Comma 20 3 3 2 2" xfId="2151" xr:uid="{00000000-0005-0000-0000-00007B050000}"/>
    <cellStyle name="Comma 20 3 3 2 2 2" xfId="3854" xr:uid="{00000000-0005-0000-0000-00007C050000}"/>
    <cellStyle name="Comma 20 3 3 2 3" xfId="4234" xr:uid="{00000000-0005-0000-0000-00007D050000}"/>
    <cellStyle name="Comma 20 3 3 2 4" xfId="3311" xr:uid="{00000000-0005-0000-0000-00007E050000}"/>
    <cellStyle name="Comma 20 3 3 3" xfId="1577" xr:uid="{00000000-0005-0000-0000-00007F050000}"/>
    <cellStyle name="Comma 20 3 3 3 2" xfId="3733" xr:uid="{00000000-0005-0000-0000-000080050000}"/>
    <cellStyle name="Comma 20 3 3 4" xfId="3602" xr:uid="{00000000-0005-0000-0000-000081050000}"/>
    <cellStyle name="Comma 20 3 3 5" xfId="2736" xr:uid="{00000000-0005-0000-0000-000082050000}"/>
    <cellStyle name="Comma 20 3 4" xfId="282" xr:uid="{00000000-0005-0000-0000-000083050000}"/>
    <cellStyle name="Comma 20 3 4 2" xfId="283" xr:uid="{00000000-0005-0000-0000-000084050000}"/>
    <cellStyle name="Comma 20 3 4 2 2" xfId="2297" xr:uid="{00000000-0005-0000-0000-000085050000}"/>
    <cellStyle name="Comma 20 3 4 2 2 2" xfId="4055" xr:uid="{00000000-0005-0000-0000-000086050000}"/>
    <cellStyle name="Comma 20 3 4 2 3" xfId="4429" xr:uid="{00000000-0005-0000-0000-000087050000}"/>
    <cellStyle name="Comma 20 3 4 2 4" xfId="3457" xr:uid="{00000000-0005-0000-0000-000088050000}"/>
    <cellStyle name="Comma 20 3 4 3" xfId="1723" xr:uid="{00000000-0005-0000-0000-000089050000}"/>
    <cellStyle name="Comma 20 3 4 3 2" xfId="3929" xr:uid="{00000000-0005-0000-0000-00008A050000}"/>
    <cellStyle name="Comma 20 3 4 4" xfId="4301" xr:uid="{00000000-0005-0000-0000-00008B050000}"/>
    <cellStyle name="Comma 20 3 4 5" xfId="2882" xr:uid="{00000000-0005-0000-0000-00008C050000}"/>
    <cellStyle name="Comma 20 3 5" xfId="284" xr:uid="{00000000-0005-0000-0000-00008D050000}"/>
    <cellStyle name="Comma 20 3 5 2" xfId="1872" xr:uid="{00000000-0005-0000-0000-00008E050000}"/>
    <cellStyle name="Comma 20 3 5 2 2" xfId="3801" xr:uid="{00000000-0005-0000-0000-00008F050000}"/>
    <cellStyle name="Comma 20 3 5 3" xfId="4181" xr:uid="{00000000-0005-0000-0000-000090050000}"/>
    <cellStyle name="Comma 20 3 5 4" xfId="3032" xr:uid="{00000000-0005-0000-0000-000091050000}"/>
    <cellStyle name="Comma 20 3 6" xfId="1297" xr:uid="{00000000-0005-0000-0000-000092050000}"/>
    <cellStyle name="Comma 20 3 6 2" xfId="3680" xr:uid="{00000000-0005-0000-0000-000093050000}"/>
    <cellStyle name="Comma 20 3 7" xfId="3549" xr:uid="{00000000-0005-0000-0000-000094050000}"/>
    <cellStyle name="Comma 20 3 8" xfId="2456" xr:uid="{00000000-0005-0000-0000-000095050000}"/>
    <cellStyle name="Comma 20 4" xfId="285" xr:uid="{00000000-0005-0000-0000-000096050000}"/>
    <cellStyle name="Comma 20 4 2" xfId="286" xr:uid="{00000000-0005-0000-0000-000097050000}"/>
    <cellStyle name="Comma 20 4 2 2" xfId="1949" xr:uid="{00000000-0005-0000-0000-000098050000}"/>
    <cellStyle name="Comma 20 4 2 2 2" xfId="3507" xr:uid="{00000000-0005-0000-0000-000099050000}"/>
    <cellStyle name="Comma 20 4 2 3" xfId="4032" xr:uid="{00000000-0005-0000-0000-00009A050000}"/>
    <cellStyle name="Comma 20 4 2 4" xfId="3109" xr:uid="{00000000-0005-0000-0000-00009B050000}"/>
    <cellStyle name="Comma 20 4 3" xfId="1374" xr:uid="{00000000-0005-0000-0000-00009C050000}"/>
    <cellStyle name="Comma 20 4 3 2" xfId="4406" xr:uid="{00000000-0005-0000-0000-00009D050000}"/>
    <cellStyle name="Comma 20 4 4" xfId="3906" xr:uid="{00000000-0005-0000-0000-00009E050000}"/>
    <cellStyle name="Comma 20 4 5" xfId="2533" xr:uid="{00000000-0005-0000-0000-00009F050000}"/>
    <cellStyle name="Comma 20 5" xfId="287" xr:uid="{00000000-0005-0000-0000-0000A0050000}"/>
    <cellStyle name="Comma 20 5 2" xfId="288" xr:uid="{00000000-0005-0000-0000-0000A1050000}"/>
    <cellStyle name="Comma 20 5 2 2" xfId="2084" xr:uid="{00000000-0005-0000-0000-0000A2050000}"/>
    <cellStyle name="Comma 20 5 2 2 2" xfId="4278" xr:uid="{00000000-0005-0000-0000-0000A3050000}"/>
    <cellStyle name="Comma 20 5 2 3" xfId="3778" xr:uid="{00000000-0005-0000-0000-0000A4050000}"/>
    <cellStyle name="Comma 20 5 2 4" xfId="3244" xr:uid="{00000000-0005-0000-0000-0000A5050000}"/>
    <cellStyle name="Comma 20 5 3" xfId="1510" xr:uid="{00000000-0005-0000-0000-0000A6050000}"/>
    <cellStyle name="Comma 20 5 3 2" xfId="4159" xr:uid="{00000000-0005-0000-0000-0000A7050000}"/>
    <cellStyle name="Comma 20 5 4" xfId="3657" xr:uid="{00000000-0005-0000-0000-0000A8050000}"/>
    <cellStyle name="Comma 20 5 5" xfId="2669" xr:uid="{00000000-0005-0000-0000-0000A9050000}"/>
    <cellStyle name="Comma 20 6" xfId="289" xr:uid="{00000000-0005-0000-0000-0000AA050000}"/>
    <cellStyle name="Comma 20 6 2" xfId="290" xr:uid="{00000000-0005-0000-0000-0000AB050000}"/>
    <cellStyle name="Comma 20 6 2 2" xfId="2230" xr:uid="{00000000-0005-0000-0000-0000AC050000}"/>
    <cellStyle name="Comma 20 6 2 2 2" xfId="4107" xr:uid="{00000000-0005-0000-0000-0000AD050000}"/>
    <cellStyle name="Comma 20 6 2 3" xfId="4481" xr:uid="{00000000-0005-0000-0000-0000AE050000}"/>
    <cellStyle name="Comma 20 6 2 4" xfId="3390" xr:uid="{00000000-0005-0000-0000-0000AF050000}"/>
    <cellStyle name="Comma 20 6 3" xfId="1656" xr:uid="{00000000-0005-0000-0000-0000B0050000}"/>
    <cellStyle name="Comma 20 6 3 2" xfId="3981" xr:uid="{00000000-0005-0000-0000-0000B1050000}"/>
    <cellStyle name="Comma 20 6 4" xfId="4353" xr:uid="{00000000-0005-0000-0000-0000B2050000}"/>
    <cellStyle name="Comma 20 6 5" xfId="2815" xr:uid="{00000000-0005-0000-0000-0000B3050000}"/>
    <cellStyle name="Comma 20 7" xfId="291" xr:uid="{00000000-0005-0000-0000-0000B4050000}"/>
    <cellStyle name="Comma 20 7 2" xfId="1805" xr:uid="{00000000-0005-0000-0000-0000B5050000}"/>
    <cellStyle name="Comma 20 7 2 2" xfId="3853" xr:uid="{00000000-0005-0000-0000-0000B6050000}"/>
    <cellStyle name="Comma 20 7 3" xfId="4233" xr:uid="{00000000-0005-0000-0000-0000B7050000}"/>
    <cellStyle name="Comma 20 7 4" xfId="2965" xr:uid="{00000000-0005-0000-0000-0000B8050000}"/>
    <cellStyle name="Comma 20 8" xfId="1230" xr:uid="{00000000-0005-0000-0000-0000B9050000}"/>
    <cellStyle name="Comma 20 8 2" xfId="3732" xr:uid="{00000000-0005-0000-0000-0000BA050000}"/>
    <cellStyle name="Comma 20 9" xfId="3601" xr:uid="{00000000-0005-0000-0000-0000BB050000}"/>
    <cellStyle name="Comma 21" xfId="292" xr:uid="{00000000-0005-0000-0000-0000BC050000}"/>
    <cellStyle name="Comma 21 2" xfId="293" xr:uid="{00000000-0005-0000-0000-0000BD050000}"/>
    <cellStyle name="Comma 21 2 2" xfId="4072" xr:uid="{00000000-0005-0000-0000-0000BE050000}"/>
    <cellStyle name="Comma 21 3" xfId="4446" xr:uid="{00000000-0005-0000-0000-0000BF050000}"/>
    <cellStyle name="Comma 22" xfId="294" xr:uid="{00000000-0005-0000-0000-0000C0050000}"/>
    <cellStyle name="Comma 22 2" xfId="295" xr:uid="{00000000-0005-0000-0000-0000C1050000}"/>
    <cellStyle name="Comma 22 2 2" xfId="296" xr:uid="{00000000-0005-0000-0000-0000C2050000}"/>
    <cellStyle name="Comma 22 2 2 2" xfId="1960" xr:uid="{00000000-0005-0000-0000-0000C3050000}"/>
    <cellStyle name="Comma 22 2 2 2 2" xfId="3946" xr:uid="{00000000-0005-0000-0000-0000C4050000}"/>
    <cellStyle name="Comma 22 2 2 3" xfId="4318" xr:uid="{00000000-0005-0000-0000-0000C5050000}"/>
    <cellStyle name="Comma 22 2 2 4" xfId="3120" xr:uid="{00000000-0005-0000-0000-0000C6050000}"/>
    <cellStyle name="Comma 22 2 3" xfId="1386" xr:uid="{00000000-0005-0000-0000-0000C7050000}"/>
    <cellStyle name="Comma 22 2 3 2" xfId="3818" xr:uid="{00000000-0005-0000-0000-0000C8050000}"/>
    <cellStyle name="Comma 22 2 4" xfId="4198" xr:uid="{00000000-0005-0000-0000-0000C9050000}"/>
    <cellStyle name="Comma 22 2 5" xfId="2545" xr:uid="{00000000-0005-0000-0000-0000CA050000}"/>
    <cellStyle name="Comma 22 3" xfId="297" xr:uid="{00000000-0005-0000-0000-0000CB050000}"/>
    <cellStyle name="Comma 22 3 2" xfId="298" xr:uid="{00000000-0005-0000-0000-0000CC050000}"/>
    <cellStyle name="Comma 22 3 2 2" xfId="2096" xr:uid="{00000000-0005-0000-0000-0000CD050000}"/>
    <cellStyle name="Comma 22 3 2 2 2" xfId="3697" xr:uid="{00000000-0005-0000-0000-0000CE050000}"/>
    <cellStyle name="Comma 22 3 2 3" xfId="3566" xr:uid="{00000000-0005-0000-0000-0000CF050000}"/>
    <cellStyle name="Comma 22 3 2 4" xfId="3256" xr:uid="{00000000-0005-0000-0000-0000D0050000}"/>
    <cellStyle name="Comma 22 3 3" xfId="1522" xr:uid="{00000000-0005-0000-0000-0000D1050000}"/>
    <cellStyle name="Comma 22 3 3 2" xfId="3524" xr:uid="{00000000-0005-0000-0000-0000D2050000}"/>
    <cellStyle name="Comma 22 3 4" xfId="4031" xr:uid="{00000000-0005-0000-0000-0000D3050000}"/>
    <cellStyle name="Comma 22 3 5" xfId="2681" xr:uid="{00000000-0005-0000-0000-0000D4050000}"/>
    <cellStyle name="Comma 22 4" xfId="299" xr:uid="{00000000-0005-0000-0000-0000D5050000}"/>
    <cellStyle name="Comma 22 4 2" xfId="300" xr:uid="{00000000-0005-0000-0000-0000D6050000}"/>
    <cellStyle name="Comma 22 4 2 2" xfId="2242" xr:uid="{00000000-0005-0000-0000-0000D7050000}"/>
    <cellStyle name="Comma 22 4 2 2 2" xfId="4405" xr:uid="{00000000-0005-0000-0000-0000D8050000}"/>
    <cellStyle name="Comma 22 4 2 3" xfId="3905" xr:uid="{00000000-0005-0000-0000-0000D9050000}"/>
    <cellStyle name="Comma 22 4 2 4" xfId="3402" xr:uid="{00000000-0005-0000-0000-0000DA050000}"/>
    <cellStyle name="Comma 22 4 3" xfId="1668" xr:uid="{00000000-0005-0000-0000-0000DB050000}"/>
    <cellStyle name="Comma 22 4 3 2" xfId="4277" xr:uid="{00000000-0005-0000-0000-0000DC050000}"/>
    <cellStyle name="Comma 22 4 4" xfId="3777" xr:uid="{00000000-0005-0000-0000-0000DD050000}"/>
    <cellStyle name="Comma 22 4 5" xfId="2827" xr:uid="{00000000-0005-0000-0000-0000DE050000}"/>
    <cellStyle name="Comma 22 5" xfId="301" xr:uid="{00000000-0005-0000-0000-0000DF050000}"/>
    <cellStyle name="Comma 22 5 2" xfId="1817" xr:uid="{00000000-0005-0000-0000-0000E0050000}"/>
    <cellStyle name="Comma 22 5 2 2" xfId="4158" xr:uid="{00000000-0005-0000-0000-0000E1050000}"/>
    <cellStyle name="Comma 22 5 3" xfId="3656" xr:uid="{00000000-0005-0000-0000-0000E2050000}"/>
    <cellStyle name="Comma 22 5 4" xfId="2977" xr:uid="{00000000-0005-0000-0000-0000E3050000}"/>
    <cellStyle name="Comma 22 6" xfId="1242" xr:uid="{00000000-0005-0000-0000-0000E4050000}"/>
    <cellStyle name="Comma 22 6 2" xfId="4106" xr:uid="{00000000-0005-0000-0000-0000E5050000}"/>
    <cellStyle name="Comma 22 7" xfId="4480" xr:uid="{00000000-0005-0000-0000-0000E6050000}"/>
    <cellStyle name="Comma 22 8" xfId="2401" xr:uid="{00000000-0005-0000-0000-0000E7050000}"/>
    <cellStyle name="Comma 23" xfId="302" xr:uid="{00000000-0005-0000-0000-0000E8050000}"/>
    <cellStyle name="Comma 23 2" xfId="303" xr:uid="{00000000-0005-0000-0000-0000E9050000}"/>
    <cellStyle name="Comma 23 2 2" xfId="304" xr:uid="{00000000-0005-0000-0000-0000EA050000}"/>
    <cellStyle name="Comma 23 2 2 2" xfId="2002" xr:uid="{00000000-0005-0000-0000-0000EB050000}"/>
    <cellStyle name="Comma 23 2 2 2 2" xfId="3980" xr:uid="{00000000-0005-0000-0000-0000EC050000}"/>
    <cellStyle name="Comma 23 2 2 3" xfId="4352" xr:uid="{00000000-0005-0000-0000-0000ED050000}"/>
    <cellStyle name="Comma 23 2 2 4" xfId="3162" xr:uid="{00000000-0005-0000-0000-0000EE050000}"/>
    <cellStyle name="Comma 23 2 3" xfId="1428" xr:uid="{00000000-0005-0000-0000-0000EF050000}"/>
    <cellStyle name="Comma 23 2 3 2" xfId="3852" xr:uid="{00000000-0005-0000-0000-0000F0050000}"/>
    <cellStyle name="Comma 23 2 4" xfId="4232" xr:uid="{00000000-0005-0000-0000-0000F1050000}"/>
    <cellStyle name="Comma 23 2 5" xfId="2587" xr:uid="{00000000-0005-0000-0000-0000F2050000}"/>
    <cellStyle name="Comma 23 3" xfId="305" xr:uid="{00000000-0005-0000-0000-0000F3050000}"/>
    <cellStyle name="Comma 23 3 2" xfId="306" xr:uid="{00000000-0005-0000-0000-0000F4050000}"/>
    <cellStyle name="Comma 23 3 2 2" xfId="2138" xr:uid="{00000000-0005-0000-0000-0000F5050000}"/>
    <cellStyle name="Comma 23 3 2 2 2" xfId="3731" xr:uid="{00000000-0005-0000-0000-0000F6050000}"/>
    <cellStyle name="Comma 23 3 2 3" xfId="3600" xr:uid="{00000000-0005-0000-0000-0000F7050000}"/>
    <cellStyle name="Comma 23 3 2 4" xfId="3298" xr:uid="{00000000-0005-0000-0000-0000F8050000}"/>
    <cellStyle name="Comma 23 3 3" xfId="1564" xr:uid="{00000000-0005-0000-0000-0000F9050000}"/>
    <cellStyle name="Comma 23 3 3 2" xfId="4071" xr:uid="{00000000-0005-0000-0000-0000FA050000}"/>
    <cellStyle name="Comma 23 3 4" xfId="4445" xr:uid="{00000000-0005-0000-0000-0000FB050000}"/>
    <cellStyle name="Comma 23 3 5" xfId="2723" xr:uid="{00000000-0005-0000-0000-0000FC050000}"/>
    <cellStyle name="Comma 23 4" xfId="307" xr:uid="{00000000-0005-0000-0000-0000FD050000}"/>
    <cellStyle name="Comma 23 4 2" xfId="308" xr:uid="{00000000-0005-0000-0000-0000FE050000}"/>
    <cellStyle name="Comma 23 4 2 2" xfId="2284" xr:uid="{00000000-0005-0000-0000-0000FF050000}"/>
    <cellStyle name="Comma 23 4 2 2 2" xfId="3945" xr:uid="{00000000-0005-0000-0000-000000060000}"/>
    <cellStyle name="Comma 23 4 2 3" xfId="4317" xr:uid="{00000000-0005-0000-0000-000001060000}"/>
    <cellStyle name="Comma 23 4 2 4" xfId="3444" xr:uid="{00000000-0005-0000-0000-000002060000}"/>
    <cellStyle name="Comma 23 4 3" xfId="1710" xr:uid="{00000000-0005-0000-0000-000003060000}"/>
    <cellStyle name="Comma 23 4 3 2" xfId="3817" xr:uid="{00000000-0005-0000-0000-000004060000}"/>
    <cellStyle name="Comma 23 4 4" xfId="4197" xr:uid="{00000000-0005-0000-0000-000005060000}"/>
    <cellStyle name="Comma 23 4 5" xfId="2869" xr:uid="{00000000-0005-0000-0000-000006060000}"/>
    <cellStyle name="Comma 23 5" xfId="309" xr:uid="{00000000-0005-0000-0000-000007060000}"/>
    <cellStyle name="Comma 23 5 2" xfId="1859" xr:uid="{00000000-0005-0000-0000-000008060000}"/>
    <cellStyle name="Comma 23 5 2 2" xfId="3696" xr:uid="{00000000-0005-0000-0000-000009060000}"/>
    <cellStyle name="Comma 23 5 3" xfId="3565" xr:uid="{00000000-0005-0000-0000-00000A060000}"/>
    <cellStyle name="Comma 23 5 4" xfId="3019" xr:uid="{00000000-0005-0000-0000-00000B060000}"/>
    <cellStyle name="Comma 23 6" xfId="1284" xr:uid="{00000000-0005-0000-0000-00000C060000}"/>
    <cellStyle name="Comma 23 6 2" xfId="3523" xr:uid="{00000000-0005-0000-0000-00000D060000}"/>
    <cellStyle name="Comma 23 7" xfId="4030" xr:uid="{00000000-0005-0000-0000-00000E060000}"/>
    <cellStyle name="Comma 23 8" xfId="2443" xr:uid="{00000000-0005-0000-0000-00000F060000}"/>
    <cellStyle name="Comma 24" xfId="310" xr:uid="{00000000-0005-0000-0000-000010060000}"/>
    <cellStyle name="Comma 24 2" xfId="311" xr:uid="{00000000-0005-0000-0000-000011060000}"/>
    <cellStyle name="Comma 24 2 2" xfId="312" xr:uid="{00000000-0005-0000-0000-000012060000}"/>
    <cellStyle name="Comma 24 2 2 2" xfId="2046" xr:uid="{00000000-0005-0000-0000-000013060000}"/>
    <cellStyle name="Comma 24 2 2 2 2" xfId="4404" xr:uid="{00000000-0005-0000-0000-000014060000}"/>
    <cellStyle name="Comma 24 2 2 3" xfId="3904" xr:uid="{00000000-0005-0000-0000-000015060000}"/>
    <cellStyle name="Comma 24 2 2 4" xfId="3206" xr:uid="{00000000-0005-0000-0000-000016060000}"/>
    <cellStyle name="Comma 24 2 3" xfId="1472" xr:uid="{00000000-0005-0000-0000-000017060000}"/>
    <cellStyle name="Comma 24 2 3 2" xfId="4276" xr:uid="{00000000-0005-0000-0000-000018060000}"/>
    <cellStyle name="Comma 24 2 4" xfId="3776" xr:uid="{00000000-0005-0000-0000-000019060000}"/>
    <cellStyle name="Comma 24 2 5" xfId="2631" xr:uid="{00000000-0005-0000-0000-00001A060000}"/>
    <cellStyle name="Comma 24 3" xfId="313" xr:uid="{00000000-0005-0000-0000-00001B060000}"/>
    <cellStyle name="Comma 24 3 2" xfId="314" xr:uid="{00000000-0005-0000-0000-00001C060000}"/>
    <cellStyle name="Comma 24 3 2 2" xfId="2182" xr:uid="{00000000-0005-0000-0000-00001D060000}"/>
    <cellStyle name="Comma 24 3 2 2 2" xfId="4157" xr:uid="{00000000-0005-0000-0000-00001E060000}"/>
    <cellStyle name="Comma 24 3 2 3" xfId="3655" xr:uid="{00000000-0005-0000-0000-00001F060000}"/>
    <cellStyle name="Comma 24 3 2 4" xfId="3342" xr:uid="{00000000-0005-0000-0000-000020060000}"/>
    <cellStyle name="Comma 24 3 3" xfId="1608" xr:uid="{00000000-0005-0000-0000-000021060000}"/>
    <cellStyle name="Comma 24 3 3 2" xfId="4105" xr:uid="{00000000-0005-0000-0000-000022060000}"/>
    <cellStyle name="Comma 24 3 4" xfId="4479" xr:uid="{00000000-0005-0000-0000-000023060000}"/>
    <cellStyle name="Comma 24 3 5" xfId="2767" xr:uid="{00000000-0005-0000-0000-000024060000}"/>
    <cellStyle name="Comma 24 4" xfId="315" xr:uid="{00000000-0005-0000-0000-000025060000}"/>
    <cellStyle name="Comma 24 4 2" xfId="316" xr:uid="{00000000-0005-0000-0000-000026060000}"/>
    <cellStyle name="Comma 24 4 2 2" xfId="2328" xr:uid="{00000000-0005-0000-0000-000027060000}"/>
    <cellStyle name="Comma 24 4 2 2 2" xfId="3979" xr:uid="{00000000-0005-0000-0000-000028060000}"/>
    <cellStyle name="Comma 24 4 2 3" xfId="4351" xr:uid="{00000000-0005-0000-0000-000029060000}"/>
    <cellStyle name="Comma 24 4 2 4" xfId="3488" xr:uid="{00000000-0005-0000-0000-00002A060000}"/>
    <cellStyle name="Comma 24 4 3" xfId="1754" xr:uid="{00000000-0005-0000-0000-00002B060000}"/>
    <cellStyle name="Comma 24 4 3 2" xfId="3851" xr:uid="{00000000-0005-0000-0000-00002C060000}"/>
    <cellStyle name="Comma 24 4 4" xfId="4231" xr:uid="{00000000-0005-0000-0000-00002D060000}"/>
    <cellStyle name="Comma 24 4 5" xfId="2913" xr:uid="{00000000-0005-0000-0000-00002E060000}"/>
    <cellStyle name="Comma 24 5" xfId="317" xr:uid="{00000000-0005-0000-0000-00002F060000}"/>
    <cellStyle name="Comma 24 5 2" xfId="1903" xr:uid="{00000000-0005-0000-0000-000030060000}"/>
    <cellStyle name="Comma 24 5 2 2" xfId="3730" xr:uid="{00000000-0005-0000-0000-000031060000}"/>
    <cellStyle name="Comma 24 5 3" xfId="3599" xr:uid="{00000000-0005-0000-0000-000032060000}"/>
    <cellStyle name="Comma 24 5 4" xfId="3063" xr:uid="{00000000-0005-0000-0000-000033060000}"/>
    <cellStyle name="Comma 24 6" xfId="1328" xr:uid="{00000000-0005-0000-0000-000034060000}"/>
    <cellStyle name="Comma 24 6 2" xfId="4070" xr:uid="{00000000-0005-0000-0000-000035060000}"/>
    <cellStyle name="Comma 24 7" xfId="4444" xr:uid="{00000000-0005-0000-0000-000036060000}"/>
    <cellStyle name="Comma 24 8" xfId="2487" xr:uid="{00000000-0005-0000-0000-000037060000}"/>
    <cellStyle name="Comma 25" xfId="318" xr:uid="{00000000-0005-0000-0000-000038060000}"/>
    <cellStyle name="Comma 25 10" xfId="2370" xr:uid="{00000000-0005-0000-0000-000039060000}"/>
    <cellStyle name="Comma 25 2" xfId="319" xr:uid="{00000000-0005-0000-0000-00003A060000}"/>
    <cellStyle name="Comma 25 2 2" xfId="320" xr:uid="{00000000-0005-0000-0000-00003B060000}"/>
    <cellStyle name="Comma 25 2 2 2" xfId="321" xr:uid="{00000000-0005-0000-0000-00003C060000}"/>
    <cellStyle name="Comma 25 2 2 2 2" xfId="1976" xr:uid="{00000000-0005-0000-0000-00003D060000}"/>
    <cellStyle name="Comma 25 2 2 2 2 2" xfId="3944" xr:uid="{00000000-0005-0000-0000-00003E060000}"/>
    <cellStyle name="Comma 25 2 2 2 3" xfId="4316" xr:uid="{00000000-0005-0000-0000-00003F060000}"/>
    <cellStyle name="Comma 25 2 2 2 4" xfId="3136" xr:uid="{00000000-0005-0000-0000-000040060000}"/>
    <cellStyle name="Comma 25 2 2 3" xfId="1402" xr:uid="{00000000-0005-0000-0000-000041060000}"/>
    <cellStyle name="Comma 25 2 2 3 2" xfId="3816" xr:uid="{00000000-0005-0000-0000-000042060000}"/>
    <cellStyle name="Comma 25 2 2 4" xfId="4196" xr:uid="{00000000-0005-0000-0000-000043060000}"/>
    <cellStyle name="Comma 25 2 2 5" xfId="2561" xr:uid="{00000000-0005-0000-0000-000044060000}"/>
    <cellStyle name="Comma 25 2 3" xfId="322" xr:uid="{00000000-0005-0000-0000-000045060000}"/>
    <cellStyle name="Comma 25 2 3 2" xfId="323" xr:uid="{00000000-0005-0000-0000-000046060000}"/>
    <cellStyle name="Comma 25 2 3 2 2" xfId="2112" xr:uid="{00000000-0005-0000-0000-000047060000}"/>
    <cellStyle name="Comma 25 2 3 2 2 2" xfId="3695" xr:uid="{00000000-0005-0000-0000-000048060000}"/>
    <cellStyle name="Comma 25 2 3 2 3" xfId="3564" xr:uid="{00000000-0005-0000-0000-000049060000}"/>
    <cellStyle name="Comma 25 2 3 2 4" xfId="3272" xr:uid="{00000000-0005-0000-0000-00004A060000}"/>
    <cellStyle name="Comma 25 2 3 3" xfId="1538" xr:uid="{00000000-0005-0000-0000-00004B060000}"/>
    <cellStyle name="Comma 25 2 3 3 2" xfId="3522" xr:uid="{00000000-0005-0000-0000-00004C060000}"/>
    <cellStyle name="Comma 25 2 3 4" xfId="4029" xr:uid="{00000000-0005-0000-0000-00004D060000}"/>
    <cellStyle name="Comma 25 2 3 5" xfId="2697" xr:uid="{00000000-0005-0000-0000-00004E060000}"/>
    <cellStyle name="Comma 25 2 4" xfId="324" xr:uid="{00000000-0005-0000-0000-00004F060000}"/>
    <cellStyle name="Comma 25 2 4 2" xfId="325" xr:uid="{00000000-0005-0000-0000-000050060000}"/>
    <cellStyle name="Comma 25 2 4 2 2" xfId="2258" xr:uid="{00000000-0005-0000-0000-000051060000}"/>
    <cellStyle name="Comma 25 2 4 2 2 2" xfId="4403" xr:uid="{00000000-0005-0000-0000-000052060000}"/>
    <cellStyle name="Comma 25 2 4 2 3" xfId="3903" xr:uid="{00000000-0005-0000-0000-000053060000}"/>
    <cellStyle name="Comma 25 2 4 2 4" xfId="3418" xr:uid="{00000000-0005-0000-0000-000054060000}"/>
    <cellStyle name="Comma 25 2 4 3" xfId="1684" xr:uid="{00000000-0005-0000-0000-000055060000}"/>
    <cellStyle name="Comma 25 2 4 3 2" xfId="4275" xr:uid="{00000000-0005-0000-0000-000056060000}"/>
    <cellStyle name="Comma 25 2 4 4" xfId="3775" xr:uid="{00000000-0005-0000-0000-000057060000}"/>
    <cellStyle name="Comma 25 2 4 5" xfId="2843" xr:uid="{00000000-0005-0000-0000-000058060000}"/>
    <cellStyle name="Comma 25 2 5" xfId="326" xr:uid="{00000000-0005-0000-0000-000059060000}"/>
    <cellStyle name="Comma 25 2 5 2" xfId="1833" xr:uid="{00000000-0005-0000-0000-00005A060000}"/>
    <cellStyle name="Comma 25 2 5 2 2" xfId="4156" xr:uid="{00000000-0005-0000-0000-00005B060000}"/>
    <cellStyle name="Comma 25 2 5 3" xfId="3654" xr:uid="{00000000-0005-0000-0000-00005C060000}"/>
    <cellStyle name="Comma 25 2 5 4" xfId="2993" xr:uid="{00000000-0005-0000-0000-00005D060000}"/>
    <cellStyle name="Comma 25 2 6" xfId="1258" xr:uid="{00000000-0005-0000-0000-00005E060000}"/>
    <cellStyle name="Comma 25 2 6 2" xfId="4104" xr:uid="{00000000-0005-0000-0000-00005F060000}"/>
    <cellStyle name="Comma 25 2 7" xfId="4478" xr:uid="{00000000-0005-0000-0000-000060060000}"/>
    <cellStyle name="Comma 25 2 8" xfId="2417" xr:uid="{00000000-0005-0000-0000-000061060000}"/>
    <cellStyle name="Comma 25 3" xfId="327" xr:uid="{00000000-0005-0000-0000-000062060000}"/>
    <cellStyle name="Comma 25 3 2" xfId="328" xr:uid="{00000000-0005-0000-0000-000063060000}"/>
    <cellStyle name="Comma 25 3 2 2" xfId="329" xr:uid="{00000000-0005-0000-0000-000064060000}"/>
    <cellStyle name="Comma 25 3 2 2 2" xfId="2016" xr:uid="{00000000-0005-0000-0000-000065060000}"/>
    <cellStyle name="Comma 25 3 2 2 2 2" xfId="3978" xr:uid="{00000000-0005-0000-0000-000066060000}"/>
    <cellStyle name="Comma 25 3 2 2 3" xfId="4350" xr:uid="{00000000-0005-0000-0000-000067060000}"/>
    <cellStyle name="Comma 25 3 2 2 4" xfId="3176" xr:uid="{00000000-0005-0000-0000-000068060000}"/>
    <cellStyle name="Comma 25 3 2 3" xfId="1442" xr:uid="{00000000-0005-0000-0000-000069060000}"/>
    <cellStyle name="Comma 25 3 2 3 2" xfId="3850" xr:uid="{00000000-0005-0000-0000-00006A060000}"/>
    <cellStyle name="Comma 25 3 2 4" xfId="4230" xr:uid="{00000000-0005-0000-0000-00006B060000}"/>
    <cellStyle name="Comma 25 3 2 5" xfId="2601" xr:uid="{00000000-0005-0000-0000-00006C060000}"/>
    <cellStyle name="Comma 25 3 3" xfId="330" xr:uid="{00000000-0005-0000-0000-00006D060000}"/>
    <cellStyle name="Comma 25 3 3 2" xfId="331" xr:uid="{00000000-0005-0000-0000-00006E060000}"/>
    <cellStyle name="Comma 25 3 3 2 2" xfId="2152" xr:uid="{00000000-0005-0000-0000-00006F060000}"/>
    <cellStyle name="Comma 25 3 3 2 2 2" xfId="3729" xr:uid="{00000000-0005-0000-0000-000070060000}"/>
    <cellStyle name="Comma 25 3 3 2 3" xfId="3598" xr:uid="{00000000-0005-0000-0000-000071060000}"/>
    <cellStyle name="Comma 25 3 3 2 4" xfId="3312" xr:uid="{00000000-0005-0000-0000-000072060000}"/>
    <cellStyle name="Comma 25 3 3 3" xfId="1578" xr:uid="{00000000-0005-0000-0000-000073060000}"/>
    <cellStyle name="Comma 25 3 3 3 2" xfId="4069" xr:uid="{00000000-0005-0000-0000-000074060000}"/>
    <cellStyle name="Comma 25 3 3 4" xfId="4443" xr:uid="{00000000-0005-0000-0000-000075060000}"/>
    <cellStyle name="Comma 25 3 3 5" xfId="2737" xr:uid="{00000000-0005-0000-0000-000076060000}"/>
    <cellStyle name="Comma 25 3 4" xfId="332" xr:uid="{00000000-0005-0000-0000-000077060000}"/>
    <cellStyle name="Comma 25 3 4 2" xfId="333" xr:uid="{00000000-0005-0000-0000-000078060000}"/>
    <cellStyle name="Comma 25 3 4 2 2" xfId="2298" xr:uid="{00000000-0005-0000-0000-000079060000}"/>
    <cellStyle name="Comma 25 3 4 2 2 2" xfId="3943" xr:uid="{00000000-0005-0000-0000-00007A060000}"/>
    <cellStyle name="Comma 25 3 4 2 3" xfId="4315" xr:uid="{00000000-0005-0000-0000-00007B060000}"/>
    <cellStyle name="Comma 25 3 4 2 4" xfId="3458" xr:uid="{00000000-0005-0000-0000-00007C060000}"/>
    <cellStyle name="Comma 25 3 4 3" xfId="1724" xr:uid="{00000000-0005-0000-0000-00007D060000}"/>
    <cellStyle name="Comma 25 3 4 3 2" xfId="3815" xr:uid="{00000000-0005-0000-0000-00007E060000}"/>
    <cellStyle name="Comma 25 3 4 4" xfId="4195" xr:uid="{00000000-0005-0000-0000-00007F060000}"/>
    <cellStyle name="Comma 25 3 4 5" xfId="2883" xr:uid="{00000000-0005-0000-0000-000080060000}"/>
    <cellStyle name="Comma 25 3 5" xfId="334" xr:uid="{00000000-0005-0000-0000-000081060000}"/>
    <cellStyle name="Comma 25 3 5 2" xfId="1873" xr:uid="{00000000-0005-0000-0000-000082060000}"/>
    <cellStyle name="Comma 25 3 5 2 2" xfId="3694" xr:uid="{00000000-0005-0000-0000-000083060000}"/>
    <cellStyle name="Comma 25 3 5 3" xfId="3563" xr:uid="{00000000-0005-0000-0000-000084060000}"/>
    <cellStyle name="Comma 25 3 5 4" xfId="3033" xr:uid="{00000000-0005-0000-0000-000085060000}"/>
    <cellStyle name="Comma 25 3 6" xfId="1298" xr:uid="{00000000-0005-0000-0000-000086060000}"/>
    <cellStyle name="Comma 25 3 6 2" xfId="3521" xr:uid="{00000000-0005-0000-0000-000087060000}"/>
    <cellStyle name="Comma 25 3 7" xfId="4028" xr:uid="{00000000-0005-0000-0000-000088060000}"/>
    <cellStyle name="Comma 25 3 8" xfId="2457" xr:uid="{00000000-0005-0000-0000-000089060000}"/>
    <cellStyle name="Comma 25 4" xfId="335" xr:uid="{00000000-0005-0000-0000-00008A060000}"/>
    <cellStyle name="Comma 25 4 2" xfId="336" xr:uid="{00000000-0005-0000-0000-00008B060000}"/>
    <cellStyle name="Comma 25 4 2 2" xfId="1930" xr:uid="{00000000-0005-0000-0000-00008C060000}"/>
    <cellStyle name="Comma 25 4 2 2 2" xfId="4402" xr:uid="{00000000-0005-0000-0000-00008D060000}"/>
    <cellStyle name="Comma 25 4 2 3" xfId="3902" xr:uid="{00000000-0005-0000-0000-00008E060000}"/>
    <cellStyle name="Comma 25 4 2 4" xfId="3090" xr:uid="{00000000-0005-0000-0000-00008F060000}"/>
    <cellStyle name="Comma 25 4 3" xfId="1355" xr:uid="{00000000-0005-0000-0000-000090060000}"/>
    <cellStyle name="Comma 25 4 3 2" xfId="4274" xr:uid="{00000000-0005-0000-0000-000091060000}"/>
    <cellStyle name="Comma 25 4 4" xfId="3774" xr:uid="{00000000-0005-0000-0000-000092060000}"/>
    <cellStyle name="Comma 25 4 5" xfId="2514" xr:uid="{00000000-0005-0000-0000-000093060000}"/>
    <cellStyle name="Comma 25 5" xfId="337" xr:uid="{00000000-0005-0000-0000-000094060000}"/>
    <cellStyle name="Comma 25 5 2" xfId="338" xr:uid="{00000000-0005-0000-0000-000095060000}"/>
    <cellStyle name="Comma 25 5 2 2" xfId="2065" xr:uid="{00000000-0005-0000-0000-000096060000}"/>
    <cellStyle name="Comma 25 5 2 2 2" xfId="4155" xr:uid="{00000000-0005-0000-0000-000097060000}"/>
    <cellStyle name="Comma 25 5 2 3" xfId="3653" xr:uid="{00000000-0005-0000-0000-000098060000}"/>
    <cellStyle name="Comma 25 5 2 4" xfId="3225" xr:uid="{00000000-0005-0000-0000-000099060000}"/>
    <cellStyle name="Comma 25 5 3" xfId="1491" xr:uid="{00000000-0005-0000-0000-00009A060000}"/>
    <cellStyle name="Comma 25 5 3 2" xfId="4103" xr:uid="{00000000-0005-0000-0000-00009B060000}"/>
    <cellStyle name="Comma 25 5 4" xfId="4477" xr:uid="{00000000-0005-0000-0000-00009C060000}"/>
    <cellStyle name="Comma 25 5 5" xfId="2650" xr:uid="{00000000-0005-0000-0000-00009D060000}"/>
    <cellStyle name="Comma 25 6" xfId="339" xr:uid="{00000000-0005-0000-0000-00009E060000}"/>
    <cellStyle name="Comma 25 6 2" xfId="340" xr:uid="{00000000-0005-0000-0000-00009F060000}"/>
    <cellStyle name="Comma 25 6 2 2" xfId="2211" xr:uid="{00000000-0005-0000-0000-0000A0060000}"/>
    <cellStyle name="Comma 25 6 2 2 2" xfId="3977" xr:uid="{00000000-0005-0000-0000-0000A1060000}"/>
    <cellStyle name="Comma 25 6 2 3" xfId="4349" xr:uid="{00000000-0005-0000-0000-0000A2060000}"/>
    <cellStyle name="Comma 25 6 2 4" xfId="3371" xr:uid="{00000000-0005-0000-0000-0000A3060000}"/>
    <cellStyle name="Comma 25 6 3" xfId="1637" xr:uid="{00000000-0005-0000-0000-0000A4060000}"/>
    <cellStyle name="Comma 25 6 3 2" xfId="3849" xr:uid="{00000000-0005-0000-0000-0000A5060000}"/>
    <cellStyle name="Comma 25 6 4" xfId="4229" xr:uid="{00000000-0005-0000-0000-0000A6060000}"/>
    <cellStyle name="Comma 25 6 5" xfId="2796" xr:uid="{00000000-0005-0000-0000-0000A7060000}"/>
    <cellStyle name="Comma 25 7" xfId="341" xr:uid="{00000000-0005-0000-0000-0000A8060000}"/>
    <cellStyle name="Comma 25 7 2" xfId="1786" xr:uid="{00000000-0005-0000-0000-0000A9060000}"/>
    <cellStyle name="Comma 25 7 2 2" xfId="3728" xr:uid="{00000000-0005-0000-0000-0000AA060000}"/>
    <cellStyle name="Comma 25 7 3" xfId="3597" xr:uid="{00000000-0005-0000-0000-0000AB060000}"/>
    <cellStyle name="Comma 25 7 4" xfId="2946" xr:uid="{00000000-0005-0000-0000-0000AC060000}"/>
    <cellStyle name="Comma 25 8" xfId="1211" xr:uid="{00000000-0005-0000-0000-0000AD060000}"/>
    <cellStyle name="Comma 25 8 2" xfId="4068" xr:uid="{00000000-0005-0000-0000-0000AE060000}"/>
    <cellStyle name="Comma 25 9" xfId="4442" xr:uid="{00000000-0005-0000-0000-0000AF060000}"/>
    <cellStyle name="Comma 26" xfId="342" xr:uid="{00000000-0005-0000-0000-0000B0060000}"/>
    <cellStyle name="Comma 26 10" xfId="2371" xr:uid="{00000000-0005-0000-0000-0000B1060000}"/>
    <cellStyle name="Comma 26 2" xfId="343" xr:uid="{00000000-0005-0000-0000-0000B2060000}"/>
    <cellStyle name="Comma 26 2 2" xfId="344" xr:uid="{00000000-0005-0000-0000-0000B3060000}"/>
    <cellStyle name="Comma 26 2 2 2" xfId="345" xr:uid="{00000000-0005-0000-0000-0000B4060000}"/>
    <cellStyle name="Comma 26 2 2 2 2" xfId="1977" xr:uid="{00000000-0005-0000-0000-0000B5060000}"/>
    <cellStyle name="Comma 26 2 2 2 2 2" xfId="3942" xr:uid="{00000000-0005-0000-0000-0000B6060000}"/>
    <cellStyle name="Comma 26 2 2 2 3" xfId="4314" xr:uid="{00000000-0005-0000-0000-0000B7060000}"/>
    <cellStyle name="Comma 26 2 2 2 4" xfId="3137" xr:uid="{00000000-0005-0000-0000-0000B8060000}"/>
    <cellStyle name="Comma 26 2 2 3" xfId="1403" xr:uid="{00000000-0005-0000-0000-0000B9060000}"/>
    <cellStyle name="Comma 26 2 2 3 2" xfId="3814" xr:uid="{00000000-0005-0000-0000-0000BA060000}"/>
    <cellStyle name="Comma 26 2 2 4" xfId="4194" xr:uid="{00000000-0005-0000-0000-0000BB060000}"/>
    <cellStyle name="Comma 26 2 2 5" xfId="2562" xr:uid="{00000000-0005-0000-0000-0000BC060000}"/>
    <cellStyle name="Comma 26 2 3" xfId="346" xr:uid="{00000000-0005-0000-0000-0000BD060000}"/>
    <cellStyle name="Comma 26 2 3 2" xfId="347" xr:uid="{00000000-0005-0000-0000-0000BE060000}"/>
    <cellStyle name="Comma 26 2 3 2 2" xfId="2113" xr:uid="{00000000-0005-0000-0000-0000BF060000}"/>
    <cellStyle name="Comma 26 2 3 2 2 2" xfId="3693" xr:uid="{00000000-0005-0000-0000-0000C0060000}"/>
    <cellStyle name="Comma 26 2 3 2 3" xfId="3562" xr:uid="{00000000-0005-0000-0000-0000C1060000}"/>
    <cellStyle name="Comma 26 2 3 2 4" xfId="3273" xr:uid="{00000000-0005-0000-0000-0000C2060000}"/>
    <cellStyle name="Comma 26 2 3 3" xfId="1539" xr:uid="{00000000-0005-0000-0000-0000C3060000}"/>
    <cellStyle name="Comma 26 2 3 3 2" xfId="3520" xr:uid="{00000000-0005-0000-0000-0000C4060000}"/>
    <cellStyle name="Comma 26 2 3 4" xfId="4131" xr:uid="{00000000-0005-0000-0000-0000C5060000}"/>
    <cellStyle name="Comma 26 2 3 5" xfId="2698" xr:uid="{00000000-0005-0000-0000-0000C6060000}"/>
    <cellStyle name="Comma 26 2 4" xfId="348" xr:uid="{00000000-0005-0000-0000-0000C7060000}"/>
    <cellStyle name="Comma 26 2 4 2" xfId="349" xr:uid="{00000000-0005-0000-0000-0000C8060000}"/>
    <cellStyle name="Comma 26 2 4 2 2" xfId="2259" xr:uid="{00000000-0005-0000-0000-0000C9060000}"/>
    <cellStyle name="Comma 26 2 4 2 2 2" xfId="4505" xr:uid="{00000000-0005-0000-0000-0000CA060000}"/>
    <cellStyle name="Comma 26 2 4 2 3" xfId="4005" xr:uid="{00000000-0005-0000-0000-0000CB060000}"/>
    <cellStyle name="Comma 26 2 4 2 4" xfId="3419" xr:uid="{00000000-0005-0000-0000-0000CC060000}"/>
    <cellStyle name="Comma 26 2 4 3" xfId="1685" xr:uid="{00000000-0005-0000-0000-0000CD060000}"/>
    <cellStyle name="Comma 26 2 4 3 2" xfId="4377" xr:uid="{00000000-0005-0000-0000-0000CE060000}"/>
    <cellStyle name="Comma 26 2 4 4" xfId="3877" xr:uid="{00000000-0005-0000-0000-0000CF060000}"/>
    <cellStyle name="Comma 26 2 4 5" xfId="2844" xr:uid="{00000000-0005-0000-0000-0000D0060000}"/>
    <cellStyle name="Comma 26 2 5" xfId="350" xr:uid="{00000000-0005-0000-0000-0000D1060000}"/>
    <cellStyle name="Comma 26 2 5 2" xfId="1834" xr:uid="{00000000-0005-0000-0000-0000D2060000}"/>
    <cellStyle name="Comma 26 2 5 2 2" xfId="4257" xr:uid="{00000000-0005-0000-0000-0000D3060000}"/>
    <cellStyle name="Comma 26 2 5 3" xfId="3756" xr:uid="{00000000-0005-0000-0000-0000D4060000}"/>
    <cellStyle name="Comma 26 2 5 4" xfId="2994" xr:uid="{00000000-0005-0000-0000-0000D5060000}"/>
    <cellStyle name="Comma 26 2 6" xfId="1259" xr:uid="{00000000-0005-0000-0000-0000D6060000}"/>
    <cellStyle name="Comma 26 2 6 2" xfId="3625" xr:uid="{00000000-0005-0000-0000-0000D7060000}"/>
    <cellStyle name="Comma 26 2 7" xfId="4090" xr:uid="{00000000-0005-0000-0000-0000D8060000}"/>
    <cellStyle name="Comma 26 2 8" xfId="2418" xr:uid="{00000000-0005-0000-0000-0000D9060000}"/>
    <cellStyle name="Comma 26 3" xfId="351" xr:uid="{00000000-0005-0000-0000-0000DA060000}"/>
    <cellStyle name="Comma 26 3 2" xfId="352" xr:uid="{00000000-0005-0000-0000-0000DB060000}"/>
    <cellStyle name="Comma 26 3 2 2" xfId="353" xr:uid="{00000000-0005-0000-0000-0000DC060000}"/>
    <cellStyle name="Comma 26 3 2 2 2" xfId="2017" xr:uid="{00000000-0005-0000-0000-0000DD060000}"/>
    <cellStyle name="Comma 26 3 2 2 2 2" xfId="4464" xr:uid="{00000000-0005-0000-0000-0000DE060000}"/>
    <cellStyle name="Comma 26 3 2 2 3" xfId="3964" xr:uid="{00000000-0005-0000-0000-0000DF060000}"/>
    <cellStyle name="Comma 26 3 2 2 4" xfId="3177" xr:uid="{00000000-0005-0000-0000-0000E0060000}"/>
    <cellStyle name="Comma 26 3 2 3" xfId="1443" xr:uid="{00000000-0005-0000-0000-0000E1060000}"/>
    <cellStyle name="Comma 26 3 2 3 2" xfId="4336" xr:uid="{00000000-0005-0000-0000-0000E2060000}"/>
    <cellStyle name="Comma 26 3 2 4" xfId="3836" xr:uid="{00000000-0005-0000-0000-0000E3060000}"/>
    <cellStyle name="Comma 26 3 2 5" xfId="2602" xr:uid="{00000000-0005-0000-0000-0000E4060000}"/>
    <cellStyle name="Comma 26 3 3" xfId="354" xr:uid="{00000000-0005-0000-0000-0000E5060000}"/>
    <cellStyle name="Comma 26 3 3 2" xfId="355" xr:uid="{00000000-0005-0000-0000-0000E6060000}"/>
    <cellStyle name="Comma 26 3 3 2 2" xfId="2153" xr:uid="{00000000-0005-0000-0000-0000E7060000}"/>
    <cellStyle name="Comma 26 3 3 2 2 2" xfId="4216" xr:uid="{00000000-0005-0000-0000-0000E8060000}"/>
    <cellStyle name="Comma 26 3 3 2 3" xfId="3715" xr:uid="{00000000-0005-0000-0000-0000E9060000}"/>
    <cellStyle name="Comma 26 3 3 2 4" xfId="3313" xr:uid="{00000000-0005-0000-0000-0000EA060000}"/>
    <cellStyle name="Comma 26 3 3 3" xfId="1579" xr:uid="{00000000-0005-0000-0000-0000EB060000}"/>
    <cellStyle name="Comma 26 3 3 3 2" xfId="3584" xr:uid="{00000000-0005-0000-0000-0000EC060000}"/>
    <cellStyle name="Comma 26 3 3 4" xfId="4053" xr:uid="{00000000-0005-0000-0000-0000ED060000}"/>
    <cellStyle name="Comma 26 3 3 5" xfId="2738" xr:uid="{00000000-0005-0000-0000-0000EE060000}"/>
    <cellStyle name="Comma 26 3 4" xfId="356" xr:uid="{00000000-0005-0000-0000-0000EF060000}"/>
    <cellStyle name="Comma 26 3 4 2" xfId="357" xr:uid="{00000000-0005-0000-0000-0000F0060000}"/>
    <cellStyle name="Comma 26 3 4 2 2" xfId="2299" xr:uid="{00000000-0005-0000-0000-0000F1060000}"/>
    <cellStyle name="Comma 26 3 4 2 2 2" xfId="4427" xr:uid="{00000000-0005-0000-0000-0000F2060000}"/>
    <cellStyle name="Comma 26 3 4 2 3" xfId="3927" xr:uid="{00000000-0005-0000-0000-0000F3060000}"/>
    <cellStyle name="Comma 26 3 4 2 4" xfId="3459" xr:uid="{00000000-0005-0000-0000-0000F4060000}"/>
    <cellStyle name="Comma 26 3 4 3" xfId="1725" xr:uid="{00000000-0005-0000-0000-0000F5060000}"/>
    <cellStyle name="Comma 26 3 4 3 2" xfId="4299" xr:uid="{00000000-0005-0000-0000-0000F6060000}"/>
    <cellStyle name="Comma 26 3 4 4" xfId="3799" xr:uid="{00000000-0005-0000-0000-0000F7060000}"/>
    <cellStyle name="Comma 26 3 4 5" xfId="2884" xr:uid="{00000000-0005-0000-0000-0000F8060000}"/>
    <cellStyle name="Comma 26 3 5" xfId="358" xr:uid="{00000000-0005-0000-0000-0000F9060000}"/>
    <cellStyle name="Comma 26 3 5 2" xfId="1874" xr:uid="{00000000-0005-0000-0000-0000FA060000}"/>
    <cellStyle name="Comma 26 3 5 2 2" xfId="4179" xr:uid="{00000000-0005-0000-0000-0000FB060000}"/>
    <cellStyle name="Comma 26 3 5 3" xfId="3678" xr:uid="{00000000-0005-0000-0000-0000FC060000}"/>
    <cellStyle name="Comma 26 3 5 4" xfId="3034" xr:uid="{00000000-0005-0000-0000-0000FD060000}"/>
    <cellStyle name="Comma 26 3 6" xfId="1299" xr:uid="{00000000-0005-0000-0000-0000FE060000}"/>
    <cellStyle name="Comma 26 3 6 2" xfId="3546" xr:uid="{00000000-0005-0000-0000-0000FF060000}"/>
    <cellStyle name="Comma 26 3 7" xfId="3547" xr:uid="{00000000-0005-0000-0000-000000070000}"/>
    <cellStyle name="Comma 26 3 8" xfId="2458" xr:uid="{00000000-0005-0000-0000-000001070000}"/>
    <cellStyle name="Comma 26 4" xfId="359" xr:uid="{00000000-0005-0000-0000-000002070000}"/>
    <cellStyle name="Comma 26 4 2" xfId="360" xr:uid="{00000000-0005-0000-0000-000003070000}"/>
    <cellStyle name="Comma 26 4 2 2" xfId="1931" xr:uid="{00000000-0005-0000-0000-000004070000}"/>
    <cellStyle name="Comma 26 4 2 2 2" xfId="3543" xr:uid="{00000000-0005-0000-0000-000005070000}"/>
    <cellStyle name="Comma 26 4 2 3" xfId="4047" xr:uid="{00000000-0005-0000-0000-000006070000}"/>
    <cellStyle name="Comma 26 4 2 4" xfId="3091" xr:uid="{00000000-0005-0000-0000-000007070000}"/>
    <cellStyle name="Comma 26 4 3" xfId="1356" xr:uid="{00000000-0005-0000-0000-000008070000}"/>
    <cellStyle name="Comma 26 4 3 2" xfId="4421" xr:uid="{00000000-0005-0000-0000-000009070000}"/>
    <cellStyle name="Comma 26 4 4" xfId="3921" xr:uid="{00000000-0005-0000-0000-00000A070000}"/>
    <cellStyle name="Comma 26 4 5" xfId="2515" xr:uid="{00000000-0005-0000-0000-00000B070000}"/>
    <cellStyle name="Comma 26 5" xfId="361" xr:uid="{00000000-0005-0000-0000-00000C070000}"/>
    <cellStyle name="Comma 26 5 2" xfId="362" xr:uid="{00000000-0005-0000-0000-00000D070000}"/>
    <cellStyle name="Comma 26 5 2 2" xfId="2066" xr:uid="{00000000-0005-0000-0000-00000E070000}"/>
    <cellStyle name="Comma 26 5 2 2 2" xfId="4293" xr:uid="{00000000-0005-0000-0000-00000F070000}"/>
    <cellStyle name="Comma 26 5 2 3" xfId="3793" xr:uid="{00000000-0005-0000-0000-000010070000}"/>
    <cellStyle name="Comma 26 5 2 4" xfId="3226" xr:uid="{00000000-0005-0000-0000-000011070000}"/>
    <cellStyle name="Comma 26 5 3" xfId="1492" xr:uid="{00000000-0005-0000-0000-000012070000}"/>
    <cellStyle name="Comma 26 5 3 2" xfId="4174" xr:uid="{00000000-0005-0000-0000-000013070000}"/>
    <cellStyle name="Comma 26 5 4" xfId="3672" xr:uid="{00000000-0005-0000-0000-000014070000}"/>
    <cellStyle name="Comma 26 5 5" xfId="2651" xr:uid="{00000000-0005-0000-0000-000015070000}"/>
    <cellStyle name="Comma 26 6" xfId="363" xr:uid="{00000000-0005-0000-0000-000016070000}"/>
    <cellStyle name="Comma 26 6 2" xfId="364" xr:uid="{00000000-0005-0000-0000-000017070000}"/>
    <cellStyle name="Comma 26 6 2 2" xfId="2212" xr:uid="{00000000-0005-0000-0000-000018070000}"/>
    <cellStyle name="Comma 26 6 2 2 2" xfId="4102" xr:uid="{00000000-0005-0000-0000-000019070000}"/>
    <cellStyle name="Comma 26 6 2 3" xfId="4476" xr:uid="{00000000-0005-0000-0000-00001A070000}"/>
    <cellStyle name="Comma 26 6 2 4" xfId="3372" xr:uid="{00000000-0005-0000-0000-00001B070000}"/>
    <cellStyle name="Comma 26 6 3" xfId="1638" xr:uid="{00000000-0005-0000-0000-00001C070000}"/>
    <cellStyle name="Comma 26 6 3 2" xfId="3976" xr:uid="{00000000-0005-0000-0000-00001D070000}"/>
    <cellStyle name="Comma 26 6 4" xfId="4348" xr:uid="{00000000-0005-0000-0000-00001E070000}"/>
    <cellStyle name="Comma 26 6 5" xfId="2797" xr:uid="{00000000-0005-0000-0000-00001F070000}"/>
    <cellStyle name="Comma 26 7" xfId="365" xr:uid="{00000000-0005-0000-0000-000020070000}"/>
    <cellStyle name="Comma 26 7 2" xfId="1787" xr:uid="{00000000-0005-0000-0000-000021070000}"/>
    <cellStyle name="Comma 26 7 2 2" xfId="3848" xr:uid="{00000000-0005-0000-0000-000022070000}"/>
    <cellStyle name="Comma 26 7 3" xfId="4228" xr:uid="{00000000-0005-0000-0000-000023070000}"/>
    <cellStyle name="Comma 26 7 4" xfId="2947" xr:uid="{00000000-0005-0000-0000-000024070000}"/>
    <cellStyle name="Comma 26 8" xfId="1212" xr:uid="{00000000-0005-0000-0000-000025070000}"/>
    <cellStyle name="Comma 26 8 2" xfId="3727" xr:uid="{00000000-0005-0000-0000-000026070000}"/>
    <cellStyle name="Comma 26 9" xfId="3596" xr:uid="{00000000-0005-0000-0000-000027070000}"/>
    <cellStyle name="Comma 27" xfId="366" xr:uid="{00000000-0005-0000-0000-000028070000}"/>
    <cellStyle name="Comma 27 10" xfId="2372" xr:uid="{00000000-0005-0000-0000-000029070000}"/>
    <cellStyle name="Comma 27 2" xfId="367" xr:uid="{00000000-0005-0000-0000-00002A070000}"/>
    <cellStyle name="Comma 27 2 2" xfId="368" xr:uid="{00000000-0005-0000-0000-00002B070000}"/>
    <cellStyle name="Comma 27 2 2 2" xfId="369" xr:uid="{00000000-0005-0000-0000-00002C070000}"/>
    <cellStyle name="Comma 27 2 2 2 2" xfId="1978" xr:uid="{00000000-0005-0000-0000-00002D070000}"/>
    <cellStyle name="Comma 27 2 2 2 2 2" xfId="4087" xr:uid="{00000000-0005-0000-0000-00002E070000}"/>
    <cellStyle name="Comma 27 2 2 2 3" xfId="4461" xr:uid="{00000000-0005-0000-0000-00002F070000}"/>
    <cellStyle name="Comma 27 2 2 2 4" xfId="3138" xr:uid="{00000000-0005-0000-0000-000030070000}"/>
    <cellStyle name="Comma 27 2 2 3" xfId="1404" xr:uid="{00000000-0005-0000-0000-000031070000}"/>
    <cellStyle name="Comma 27 2 2 3 2" xfId="3961" xr:uid="{00000000-0005-0000-0000-000032070000}"/>
    <cellStyle name="Comma 27 2 2 4" xfId="4333" xr:uid="{00000000-0005-0000-0000-000033070000}"/>
    <cellStyle name="Comma 27 2 2 5" xfId="2563" xr:uid="{00000000-0005-0000-0000-000034070000}"/>
    <cellStyle name="Comma 27 2 3" xfId="370" xr:uid="{00000000-0005-0000-0000-000035070000}"/>
    <cellStyle name="Comma 27 2 3 2" xfId="371" xr:uid="{00000000-0005-0000-0000-000036070000}"/>
    <cellStyle name="Comma 27 2 3 2 2" xfId="2114" xr:uid="{00000000-0005-0000-0000-000037070000}"/>
    <cellStyle name="Comma 27 2 3 2 2 2" xfId="3833" xr:uid="{00000000-0005-0000-0000-000038070000}"/>
    <cellStyle name="Comma 27 2 3 2 3" xfId="4213" xr:uid="{00000000-0005-0000-0000-000039070000}"/>
    <cellStyle name="Comma 27 2 3 2 4" xfId="3274" xr:uid="{00000000-0005-0000-0000-00003A070000}"/>
    <cellStyle name="Comma 27 2 3 3" xfId="1540" xr:uid="{00000000-0005-0000-0000-00003B070000}"/>
    <cellStyle name="Comma 27 2 3 3 2" xfId="3712" xr:uid="{00000000-0005-0000-0000-00003C070000}"/>
    <cellStyle name="Comma 27 2 3 4" xfId="3581" xr:uid="{00000000-0005-0000-0000-00003D070000}"/>
    <cellStyle name="Comma 27 2 3 5" xfId="2699" xr:uid="{00000000-0005-0000-0000-00003E070000}"/>
    <cellStyle name="Comma 27 2 4" xfId="372" xr:uid="{00000000-0005-0000-0000-00003F070000}"/>
    <cellStyle name="Comma 27 2 4 2" xfId="373" xr:uid="{00000000-0005-0000-0000-000040070000}"/>
    <cellStyle name="Comma 27 2 4 2 2" xfId="2260" xr:uid="{00000000-0005-0000-0000-000041070000}"/>
    <cellStyle name="Comma 27 2 4 2 2 2" xfId="3539" xr:uid="{00000000-0005-0000-0000-000042070000}"/>
    <cellStyle name="Comma 27 2 4 2 3" xfId="4014" xr:uid="{00000000-0005-0000-0000-000043070000}"/>
    <cellStyle name="Comma 27 2 4 2 4" xfId="3420" xr:uid="{00000000-0005-0000-0000-000044070000}"/>
    <cellStyle name="Comma 27 2 4 3" xfId="1686" xr:uid="{00000000-0005-0000-0000-000045070000}"/>
    <cellStyle name="Comma 27 2 4 3 2" xfId="4388" xr:uid="{00000000-0005-0000-0000-000046070000}"/>
    <cellStyle name="Comma 27 2 4 4" xfId="3888" xr:uid="{00000000-0005-0000-0000-000047070000}"/>
    <cellStyle name="Comma 27 2 4 5" xfId="2845" xr:uid="{00000000-0005-0000-0000-000048070000}"/>
    <cellStyle name="Comma 27 2 5" xfId="374" xr:uid="{00000000-0005-0000-0000-000049070000}"/>
    <cellStyle name="Comma 27 2 5 2" xfId="1835" xr:uid="{00000000-0005-0000-0000-00004A070000}"/>
    <cellStyle name="Comma 27 2 5 2 2" xfId="4260" xr:uid="{00000000-0005-0000-0000-00004B070000}"/>
    <cellStyle name="Comma 27 2 5 3" xfId="3760" xr:uid="{00000000-0005-0000-0000-00004C070000}"/>
    <cellStyle name="Comma 27 2 5 4" xfId="2995" xr:uid="{00000000-0005-0000-0000-00004D070000}"/>
    <cellStyle name="Comma 27 2 6" xfId="1260" xr:uid="{00000000-0005-0000-0000-00004E070000}"/>
    <cellStyle name="Comma 27 2 6 2" xfId="4141" xr:uid="{00000000-0005-0000-0000-00004F070000}"/>
    <cellStyle name="Comma 27 2 7" xfId="3639" xr:uid="{00000000-0005-0000-0000-000050070000}"/>
    <cellStyle name="Comma 27 2 8" xfId="2419" xr:uid="{00000000-0005-0000-0000-000051070000}"/>
    <cellStyle name="Comma 27 3" xfId="375" xr:uid="{00000000-0005-0000-0000-000052070000}"/>
    <cellStyle name="Comma 27 3 2" xfId="376" xr:uid="{00000000-0005-0000-0000-000053070000}"/>
    <cellStyle name="Comma 27 3 2 2" xfId="377" xr:uid="{00000000-0005-0000-0000-000054070000}"/>
    <cellStyle name="Comma 27 3 2 2 2" xfId="2018" xr:uid="{00000000-0005-0000-0000-000055070000}"/>
    <cellStyle name="Comma 27 3 2 2 2 2" xfId="4101" xr:uid="{00000000-0005-0000-0000-000056070000}"/>
    <cellStyle name="Comma 27 3 2 2 3" xfId="4475" xr:uid="{00000000-0005-0000-0000-000057070000}"/>
    <cellStyle name="Comma 27 3 2 2 4" xfId="3178" xr:uid="{00000000-0005-0000-0000-000058070000}"/>
    <cellStyle name="Comma 27 3 2 3" xfId="1444" xr:uid="{00000000-0005-0000-0000-000059070000}"/>
    <cellStyle name="Comma 27 3 2 3 2" xfId="3975" xr:uid="{00000000-0005-0000-0000-00005A070000}"/>
    <cellStyle name="Comma 27 3 2 4" xfId="4347" xr:uid="{00000000-0005-0000-0000-00005B070000}"/>
    <cellStyle name="Comma 27 3 2 5" xfId="2603" xr:uid="{00000000-0005-0000-0000-00005C070000}"/>
    <cellStyle name="Comma 27 3 3" xfId="378" xr:uid="{00000000-0005-0000-0000-00005D070000}"/>
    <cellStyle name="Comma 27 3 3 2" xfId="379" xr:uid="{00000000-0005-0000-0000-00005E070000}"/>
    <cellStyle name="Comma 27 3 3 2 2" xfId="2154" xr:uid="{00000000-0005-0000-0000-00005F070000}"/>
    <cellStyle name="Comma 27 3 3 2 2 2" xfId="3847" xr:uid="{00000000-0005-0000-0000-000060070000}"/>
    <cellStyle name="Comma 27 3 3 2 3" xfId="4227" xr:uid="{00000000-0005-0000-0000-000061070000}"/>
    <cellStyle name="Comma 27 3 3 2 4" xfId="3314" xr:uid="{00000000-0005-0000-0000-000062070000}"/>
    <cellStyle name="Comma 27 3 3 3" xfId="1580" xr:uid="{00000000-0005-0000-0000-000063070000}"/>
    <cellStyle name="Comma 27 3 3 3 2" xfId="3726" xr:uid="{00000000-0005-0000-0000-000064070000}"/>
    <cellStyle name="Comma 27 3 3 4" xfId="3595" xr:uid="{00000000-0005-0000-0000-000065070000}"/>
    <cellStyle name="Comma 27 3 3 5" xfId="2739" xr:uid="{00000000-0005-0000-0000-000066070000}"/>
    <cellStyle name="Comma 27 3 4" xfId="380" xr:uid="{00000000-0005-0000-0000-000067070000}"/>
    <cellStyle name="Comma 27 3 4 2" xfId="381" xr:uid="{00000000-0005-0000-0000-000068070000}"/>
    <cellStyle name="Comma 27 3 4 2 2" xfId="2300" xr:uid="{00000000-0005-0000-0000-000069070000}"/>
    <cellStyle name="Comma 27 3 4 2 2 2" xfId="4054" xr:uid="{00000000-0005-0000-0000-00006A070000}"/>
    <cellStyle name="Comma 27 3 4 2 3" xfId="4428" xr:uid="{00000000-0005-0000-0000-00006B070000}"/>
    <cellStyle name="Comma 27 3 4 2 4" xfId="3460" xr:uid="{00000000-0005-0000-0000-00006C070000}"/>
    <cellStyle name="Comma 27 3 4 3" xfId="1726" xr:uid="{00000000-0005-0000-0000-00006D070000}"/>
    <cellStyle name="Comma 27 3 4 3 2" xfId="3928" xr:uid="{00000000-0005-0000-0000-00006E070000}"/>
    <cellStyle name="Comma 27 3 4 4" xfId="4300" xr:uid="{00000000-0005-0000-0000-00006F070000}"/>
    <cellStyle name="Comma 27 3 4 5" xfId="2885" xr:uid="{00000000-0005-0000-0000-000070070000}"/>
    <cellStyle name="Comma 27 3 5" xfId="382" xr:uid="{00000000-0005-0000-0000-000071070000}"/>
    <cellStyle name="Comma 27 3 5 2" xfId="1875" xr:uid="{00000000-0005-0000-0000-000072070000}"/>
    <cellStyle name="Comma 27 3 5 2 2" xfId="3800" xr:uid="{00000000-0005-0000-0000-000073070000}"/>
    <cellStyle name="Comma 27 3 5 3" xfId="4180" xr:uid="{00000000-0005-0000-0000-000074070000}"/>
    <cellStyle name="Comma 27 3 5 4" xfId="3035" xr:uid="{00000000-0005-0000-0000-000075070000}"/>
    <cellStyle name="Comma 27 3 6" xfId="1300" xr:uid="{00000000-0005-0000-0000-000076070000}"/>
    <cellStyle name="Comma 27 3 6 2" xfId="3679" xr:uid="{00000000-0005-0000-0000-000077070000}"/>
    <cellStyle name="Comma 27 3 7" xfId="3548" xr:uid="{00000000-0005-0000-0000-000078070000}"/>
    <cellStyle name="Comma 27 3 8" xfId="2459" xr:uid="{00000000-0005-0000-0000-000079070000}"/>
    <cellStyle name="Comma 27 4" xfId="383" xr:uid="{00000000-0005-0000-0000-00007A070000}"/>
    <cellStyle name="Comma 27 4 2" xfId="384" xr:uid="{00000000-0005-0000-0000-00007B070000}"/>
    <cellStyle name="Comma 27 4 2 2" xfId="1932" xr:uid="{00000000-0005-0000-0000-00007C070000}"/>
    <cellStyle name="Comma 27 4 2 2 2" xfId="3506" xr:uid="{00000000-0005-0000-0000-00007D070000}"/>
    <cellStyle name="Comma 27 4 2 3" xfId="4046" xr:uid="{00000000-0005-0000-0000-00007E070000}"/>
    <cellStyle name="Comma 27 4 2 4" xfId="3092" xr:uid="{00000000-0005-0000-0000-00007F070000}"/>
    <cellStyle name="Comma 27 4 3" xfId="1357" xr:uid="{00000000-0005-0000-0000-000080070000}"/>
    <cellStyle name="Comma 27 4 3 2" xfId="4420" xr:uid="{00000000-0005-0000-0000-000081070000}"/>
    <cellStyle name="Comma 27 4 4" xfId="3920" xr:uid="{00000000-0005-0000-0000-000082070000}"/>
    <cellStyle name="Comma 27 4 5" xfId="2516" xr:uid="{00000000-0005-0000-0000-000083070000}"/>
    <cellStyle name="Comma 27 5" xfId="385" xr:uid="{00000000-0005-0000-0000-000084070000}"/>
    <cellStyle name="Comma 27 5 2" xfId="386" xr:uid="{00000000-0005-0000-0000-000085070000}"/>
    <cellStyle name="Comma 27 5 2 2" xfId="2067" xr:uid="{00000000-0005-0000-0000-000086070000}"/>
    <cellStyle name="Comma 27 5 2 2 2" xfId="4292" xr:uid="{00000000-0005-0000-0000-000087070000}"/>
    <cellStyle name="Comma 27 5 2 3" xfId="3792" xr:uid="{00000000-0005-0000-0000-000088070000}"/>
    <cellStyle name="Comma 27 5 2 4" xfId="3227" xr:uid="{00000000-0005-0000-0000-000089070000}"/>
    <cellStyle name="Comma 27 5 3" xfId="1493" xr:uid="{00000000-0005-0000-0000-00008A070000}"/>
    <cellStyle name="Comma 27 5 3 2" xfId="4173" xr:uid="{00000000-0005-0000-0000-00008B070000}"/>
    <cellStyle name="Comma 27 5 4" xfId="3671" xr:uid="{00000000-0005-0000-0000-00008C070000}"/>
    <cellStyle name="Comma 27 5 5" xfId="2652" xr:uid="{00000000-0005-0000-0000-00008D070000}"/>
    <cellStyle name="Comma 27 6" xfId="387" xr:uid="{00000000-0005-0000-0000-00008E070000}"/>
    <cellStyle name="Comma 27 6 2" xfId="388" xr:uid="{00000000-0005-0000-0000-00008F070000}"/>
    <cellStyle name="Comma 27 6 2 2" xfId="2213" xr:uid="{00000000-0005-0000-0000-000090070000}"/>
    <cellStyle name="Comma 27 6 2 2 2" xfId="4100" xr:uid="{00000000-0005-0000-0000-000091070000}"/>
    <cellStyle name="Comma 27 6 2 3" xfId="4474" xr:uid="{00000000-0005-0000-0000-000092070000}"/>
    <cellStyle name="Comma 27 6 2 4" xfId="3373" xr:uid="{00000000-0005-0000-0000-000093070000}"/>
    <cellStyle name="Comma 27 6 3" xfId="1639" xr:uid="{00000000-0005-0000-0000-000094070000}"/>
    <cellStyle name="Comma 27 6 3 2" xfId="3974" xr:uid="{00000000-0005-0000-0000-000095070000}"/>
    <cellStyle name="Comma 27 6 4" xfId="4346" xr:uid="{00000000-0005-0000-0000-000096070000}"/>
    <cellStyle name="Comma 27 6 5" xfId="2798" xr:uid="{00000000-0005-0000-0000-000097070000}"/>
    <cellStyle name="Comma 27 7" xfId="389" xr:uid="{00000000-0005-0000-0000-000098070000}"/>
    <cellStyle name="Comma 27 7 2" xfId="1788" xr:uid="{00000000-0005-0000-0000-000099070000}"/>
    <cellStyle name="Comma 27 7 2 2" xfId="3846" xr:uid="{00000000-0005-0000-0000-00009A070000}"/>
    <cellStyle name="Comma 27 7 3" xfId="4226" xr:uid="{00000000-0005-0000-0000-00009B070000}"/>
    <cellStyle name="Comma 27 7 4" xfId="2948" xr:uid="{00000000-0005-0000-0000-00009C070000}"/>
    <cellStyle name="Comma 27 8" xfId="1213" xr:uid="{00000000-0005-0000-0000-00009D070000}"/>
    <cellStyle name="Comma 27 8 2" xfId="3725" xr:uid="{00000000-0005-0000-0000-00009E070000}"/>
    <cellStyle name="Comma 27 9" xfId="3594" xr:uid="{00000000-0005-0000-0000-00009F070000}"/>
    <cellStyle name="Comma 28" xfId="390" xr:uid="{00000000-0005-0000-0000-0000A0070000}"/>
    <cellStyle name="Comma 28 10" xfId="2373" xr:uid="{00000000-0005-0000-0000-0000A1070000}"/>
    <cellStyle name="Comma 28 2" xfId="391" xr:uid="{00000000-0005-0000-0000-0000A2070000}"/>
    <cellStyle name="Comma 28 2 2" xfId="392" xr:uid="{00000000-0005-0000-0000-0000A3070000}"/>
    <cellStyle name="Comma 28 2 2 2" xfId="393" xr:uid="{00000000-0005-0000-0000-0000A4070000}"/>
    <cellStyle name="Comma 28 2 2 2 2" xfId="1979" xr:uid="{00000000-0005-0000-0000-0000A5070000}"/>
    <cellStyle name="Comma 28 2 2 2 2 2" xfId="4086" xr:uid="{00000000-0005-0000-0000-0000A6070000}"/>
    <cellStyle name="Comma 28 2 2 2 3" xfId="4460" xr:uid="{00000000-0005-0000-0000-0000A7070000}"/>
    <cellStyle name="Comma 28 2 2 2 4" xfId="3139" xr:uid="{00000000-0005-0000-0000-0000A8070000}"/>
    <cellStyle name="Comma 28 2 2 3" xfId="1405" xr:uid="{00000000-0005-0000-0000-0000A9070000}"/>
    <cellStyle name="Comma 28 2 2 3 2" xfId="3960" xr:uid="{00000000-0005-0000-0000-0000AA070000}"/>
    <cellStyle name="Comma 28 2 2 4" xfId="4332" xr:uid="{00000000-0005-0000-0000-0000AB070000}"/>
    <cellStyle name="Comma 28 2 2 5" xfId="2564" xr:uid="{00000000-0005-0000-0000-0000AC070000}"/>
    <cellStyle name="Comma 28 2 3" xfId="394" xr:uid="{00000000-0005-0000-0000-0000AD070000}"/>
    <cellStyle name="Comma 28 2 3 2" xfId="395" xr:uid="{00000000-0005-0000-0000-0000AE070000}"/>
    <cellStyle name="Comma 28 2 3 2 2" xfId="2115" xr:uid="{00000000-0005-0000-0000-0000AF070000}"/>
    <cellStyle name="Comma 28 2 3 2 2 2" xfId="3832" xr:uid="{00000000-0005-0000-0000-0000B0070000}"/>
    <cellStyle name="Comma 28 2 3 2 3" xfId="4212" xr:uid="{00000000-0005-0000-0000-0000B1070000}"/>
    <cellStyle name="Comma 28 2 3 2 4" xfId="3275" xr:uid="{00000000-0005-0000-0000-0000B2070000}"/>
    <cellStyle name="Comma 28 2 3 3" xfId="1541" xr:uid="{00000000-0005-0000-0000-0000B3070000}"/>
    <cellStyle name="Comma 28 2 3 3 2" xfId="3711" xr:uid="{00000000-0005-0000-0000-0000B4070000}"/>
    <cellStyle name="Comma 28 2 3 4" xfId="3580" xr:uid="{00000000-0005-0000-0000-0000B5070000}"/>
    <cellStyle name="Comma 28 2 3 5" xfId="2700" xr:uid="{00000000-0005-0000-0000-0000B6070000}"/>
    <cellStyle name="Comma 28 2 4" xfId="396" xr:uid="{00000000-0005-0000-0000-0000B7070000}"/>
    <cellStyle name="Comma 28 2 4 2" xfId="397" xr:uid="{00000000-0005-0000-0000-0000B8070000}"/>
    <cellStyle name="Comma 28 2 4 2 2" xfId="2261" xr:uid="{00000000-0005-0000-0000-0000B9070000}"/>
    <cellStyle name="Comma 28 2 4 2 2 2" xfId="3538" xr:uid="{00000000-0005-0000-0000-0000BA070000}"/>
    <cellStyle name="Comma 28 2 4 2 3" xfId="4045" xr:uid="{00000000-0005-0000-0000-0000BB070000}"/>
    <cellStyle name="Comma 28 2 4 2 4" xfId="3421" xr:uid="{00000000-0005-0000-0000-0000BC070000}"/>
    <cellStyle name="Comma 28 2 4 3" xfId="1687" xr:uid="{00000000-0005-0000-0000-0000BD070000}"/>
    <cellStyle name="Comma 28 2 4 3 2" xfId="4419" xr:uid="{00000000-0005-0000-0000-0000BE070000}"/>
    <cellStyle name="Comma 28 2 4 4" xfId="3919" xr:uid="{00000000-0005-0000-0000-0000BF070000}"/>
    <cellStyle name="Comma 28 2 4 5" xfId="2846" xr:uid="{00000000-0005-0000-0000-0000C0070000}"/>
    <cellStyle name="Comma 28 2 5" xfId="398" xr:uid="{00000000-0005-0000-0000-0000C1070000}"/>
    <cellStyle name="Comma 28 2 5 2" xfId="1836" xr:uid="{00000000-0005-0000-0000-0000C2070000}"/>
    <cellStyle name="Comma 28 2 5 2 2" xfId="4291" xr:uid="{00000000-0005-0000-0000-0000C3070000}"/>
    <cellStyle name="Comma 28 2 5 3" xfId="3791" xr:uid="{00000000-0005-0000-0000-0000C4070000}"/>
    <cellStyle name="Comma 28 2 5 4" xfId="2996" xr:uid="{00000000-0005-0000-0000-0000C5070000}"/>
    <cellStyle name="Comma 28 2 6" xfId="1261" xr:uid="{00000000-0005-0000-0000-0000C6070000}"/>
    <cellStyle name="Comma 28 2 6 2" xfId="4172" xr:uid="{00000000-0005-0000-0000-0000C7070000}"/>
    <cellStyle name="Comma 28 2 7" xfId="3670" xr:uid="{00000000-0005-0000-0000-0000C8070000}"/>
    <cellStyle name="Comma 28 2 8" xfId="2420" xr:uid="{00000000-0005-0000-0000-0000C9070000}"/>
    <cellStyle name="Comma 28 3" xfId="399" xr:uid="{00000000-0005-0000-0000-0000CA070000}"/>
    <cellStyle name="Comma 28 3 2" xfId="400" xr:uid="{00000000-0005-0000-0000-0000CB070000}"/>
    <cellStyle name="Comma 28 3 2 2" xfId="401" xr:uid="{00000000-0005-0000-0000-0000CC070000}"/>
    <cellStyle name="Comma 28 3 2 2 2" xfId="2019" xr:uid="{00000000-0005-0000-0000-0000CD070000}"/>
    <cellStyle name="Comma 28 3 2 2 2 2" xfId="4099" xr:uid="{00000000-0005-0000-0000-0000CE070000}"/>
    <cellStyle name="Comma 28 3 2 2 3" xfId="4473" xr:uid="{00000000-0005-0000-0000-0000CF070000}"/>
    <cellStyle name="Comma 28 3 2 2 4" xfId="3179" xr:uid="{00000000-0005-0000-0000-0000D0070000}"/>
    <cellStyle name="Comma 28 3 2 3" xfId="1445" xr:uid="{00000000-0005-0000-0000-0000D1070000}"/>
    <cellStyle name="Comma 28 3 2 3 2" xfId="3973" xr:uid="{00000000-0005-0000-0000-0000D2070000}"/>
    <cellStyle name="Comma 28 3 2 4" xfId="4345" xr:uid="{00000000-0005-0000-0000-0000D3070000}"/>
    <cellStyle name="Comma 28 3 2 5" xfId="2604" xr:uid="{00000000-0005-0000-0000-0000D4070000}"/>
    <cellStyle name="Comma 28 3 3" xfId="402" xr:uid="{00000000-0005-0000-0000-0000D5070000}"/>
    <cellStyle name="Comma 28 3 3 2" xfId="403" xr:uid="{00000000-0005-0000-0000-0000D6070000}"/>
    <cellStyle name="Comma 28 3 3 2 2" xfId="2155" xr:uid="{00000000-0005-0000-0000-0000D7070000}"/>
    <cellStyle name="Comma 28 3 3 2 2 2" xfId="3845" xr:uid="{00000000-0005-0000-0000-0000D8070000}"/>
    <cellStyle name="Comma 28 3 3 2 3" xfId="4225" xr:uid="{00000000-0005-0000-0000-0000D9070000}"/>
    <cellStyle name="Comma 28 3 3 2 4" xfId="3315" xr:uid="{00000000-0005-0000-0000-0000DA070000}"/>
    <cellStyle name="Comma 28 3 3 3" xfId="1581" xr:uid="{00000000-0005-0000-0000-0000DB070000}"/>
    <cellStyle name="Comma 28 3 3 3 2" xfId="3724" xr:uid="{00000000-0005-0000-0000-0000DC070000}"/>
    <cellStyle name="Comma 28 3 3 4" xfId="3593" xr:uid="{00000000-0005-0000-0000-0000DD070000}"/>
    <cellStyle name="Comma 28 3 3 5" xfId="2740" xr:uid="{00000000-0005-0000-0000-0000DE070000}"/>
    <cellStyle name="Comma 28 3 4" xfId="404" xr:uid="{00000000-0005-0000-0000-0000DF070000}"/>
    <cellStyle name="Comma 28 3 4 2" xfId="405" xr:uid="{00000000-0005-0000-0000-0000E0070000}"/>
    <cellStyle name="Comma 28 3 4 2 2" xfId="2301" xr:uid="{00000000-0005-0000-0000-0000E1070000}"/>
    <cellStyle name="Comma 28 3 4 2 2 2" xfId="4085" xr:uid="{00000000-0005-0000-0000-0000E2070000}"/>
    <cellStyle name="Comma 28 3 4 2 3" xfId="4459" xr:uid="{00000000-0005-0000-0000-0000E3070000}"/>
    <cellStyle name="Comma 28 3 4 2 4" xfId="3461" xr:uid="{00000000-0005-0000-0000-0000E4070000}"/>
    <cellStyle name="Comma 28 3 4 3" xfId="1727" xr:uid="{00000000-0005-0000-0000-0000E5070000}"/>
    <cellStyle name="Comma 28 3 4 3 2" xfId="3959" xr:uid="{00000000-0005-0000-0000-0000E6070000}"/>
    <cellStyle name="Comma 28 3 4 4" xfId="4331" xr:uid="{00000000-0005-0000-0000-0000E7070000}"/>
    <cellStyle name="Comma 28 3 4 5" xfId="2886" xr:uid="{00000000-0005-0000-0000-0000E8070000}"/>
    <cellStyle name="Comma 28 3 5" xfId="406" xr:uid="{00000000-0005-0000-0000-0000E9070000}"/>
    <cellStyle name="Comma 28 3 5 2" xfId="1876" xr:uid="{00000000-0005-0000-0000-0000EA070000}"/>
    <cellStyle name="Comma 28 3 5 2 2" xfId="3831" xr:uid="{00000000-0005-0000-0000-0000EB070000}"/>
    <cellStyle name="Comma 28 3 5 3" xfId="4211" xr:uid="{00000000-0005-0000-0000-0000EC070000}"/>
    <cellStyle name="Comma 28 3 5 4" xfId="3036" xr:uid="{00000000-0005-0000-0000-0000ED070000}"/>
    <cellStyle name="Comma 28 3 6" xfId="1301" xr:uid="{00000000-0005-0000-0000-0000EE070000}"/>
    <cellStyle name="Comma 28 3 6 2" xfId="3710" xr:uid="{00000000-0005-0000-0000-0000EF070000}"/>
    <cellStyle name="Comma 28 3 7" xfId="3579" xr:uid="{00000000-0005-0000-0000-0000F0070000}"/>
    <cellStyle name="Comma 28 3 8" xfId="2460" xr:uid="{00000000-0005-0000-0000-0000F1070000}"/>
    <cellStyle name="Comma 28 4" xfId="407" xr:uid="{00000000-0005-0000-0000-0000F2070000}"/>
    <cellStyle name="Comma 28 4 2" xfId="408" xr:uid="{00000000-0005-0000-0000-0000F3070000}"/>
    <cellStyle name="Comma 28 4 2 2" xfId="1933" xr:uid="{00000000-0005-0000-0000-0000F4070000}"/>
    <cellStyle name="Comma 28 4 2 2 2" xfId="3537" xr:uid="{00000000-0005-0000-0000-0000F5070000}"/>
    <cellStyle name="Comma 28 4 2 3" xfId="4044" xr:uid="{00000000-0005-0000-0000-0000F6070000}"/>
    <cellStyle name="Comma 28 4 2 4" xfId="3093" xr:uid="{00000000-0005-0000-0000-0000F7070000}"/>
    <cellStyle name="Comma 28 4 3" xfId="1358" xr:uid="{00000000-0005-0000-0000-0000F8070000}"/>
    <cellStyle name="Comma 28 4 3 2" xfId="4418" xr:uid="{00000000-0005-0000-0000-0000F9070000}"/>
    <cellStyle name="Comma 28 4 4" xfId="3918" xr:uid="{00000000-0005-0000-0000-0000FA070000}"/>
    <cellStyle name="Comma 28 4 5" xfId="2517" xr:uid="{00000000-0005-0000-0000-0000FB070000}"/>
    <cellStyle name="Comma 28 5" xfId="409" xr:uid="{00000000-0005-0000-0000-0000FC070000}"/>
    <cellStyle name="Comma 28 5 2" xfId="410" xr:uid="{00000000-0005-0000-0000-0000FD070000}"/>
    <cellStyle name="Comma 28 5 2 2" xfId="2068" xr:uid="{00000000-0005-0000-0000-0000FE070000}"/>
    <cellStyle name="Comma 28 5 2 2 2" xfId="4290" xr:uid="{00000000-0005-0000-0000-0000FF070000}"/>
    <cellStyle name="Comma 28 5 2 3" xfId="3790" xr:uid="{00000000-0005-0000-0000-000000080000}"/>
    <cellStyle name="Comma 28 5 2 4" xfId="3228" xr:uid="{00000000-0005-0000-0000-000001080000}"/>
    <cellStyle name="Comma 28 5 3" xfId="1494" xr:uid="{00000000-0005-0000-0000-000002080000}"/>
    <cellStyle name="Comma 28 5 3 2" xfId="4171" xr:uid="{00000000-0005-0000-0000-000003080000}"/>
    <cellStyle name="Comma 28 5 4" xfId="3669" xr:uid="{00000000-0005-0000-0000-000004080000}"/>
    <cellStyle name="Comma 28 5 5" xfId="2653" xr:uid="{00000000-0005-0000-0000-000005080000}"/>
    <cellStyle name="Comma 28 6" xfId="411" xr:uid="{00000000-0005-0000-0000-000006080000}"/>
    <cellStyle name="Comma 28 6 2" xfId="412" xr:uid="{00000000-0005-0000-0000-000007080000}"/>
    <cellStyle name="Comma 28 6 2 2" xfId="2214" xr:uid="{00000000-0005-0000-0000-000008080000}"/>
    <cellStyle name="Comma 28 6 2 2 2" xfId="4098" xr:uid="{00000000-0005-0000-0000-000009080000}"/>
    <cellStyle name="Comma 28 6 2 3" xfId="4472" xr:uid="{00000000-0005-0000-0000-00000A080000}"/>
    <cellStyle name="Comma 28 6 2 4" xfId="3374" xr:uid="{00000000-0005-0000-0000-00000B080000}"/>
    <cellStyle name="Comma 28 6 3" xfId="1640" xr:uid="{00000000-0005-0000-0000-00000C080000}"/>
    <cellStyle name="Comma 28 6 3 2" xfId="3972" xr:uid="{00000000-0005-0000-0000-00000D080000}"/>
    <cellStyle name="Comma 28 6 4" xfId="4344" xr:uid="{00000000-0005-0000-0000-00000E080000}"/>
    <cellStyle name="Comma 28 6 5" xfId="2799" xr:uid="{00000000-0005-0000-0000-00000F080000}"/>
    <cellStyle name="Comma 28 7" xfId="413" xr:uid="{00000000-0005-0000-0000-000010080000}"/>
    <cellStyle name="Comma 28 7 2" xfId="1789" xr:uid="{00000000-0005-0000-0000-000011080000}"/>
    <cellStyle name="Comma 28 7 2 2" xfId="3844" xr:uid="{00000000-0005-0000-0000-000012080000}"/>
    <cellStyle name="Comma 28 7 3" xfId="4224" xr:uid="{00000000-0005-0000-0000-000013080000}"/>
    <cellStyle name="Comma 28 7 4" xfId="2949" xr:uid="{00000000-0005-0000-0000-000014080000}"/>
    <cellStyle name="Comma 28 8" xfId="1214" xr:uid="{00000000-0005-0000-0000-000015080000}"/>
    <cellStyle name="Comma 28 8 2" xfId="3723" xr:uid="{00000000-0005-0000-0000-000016080000}"/>
    <cellStyle name="Comma 28 9" xfId="3592" xr:uid="{00000000-0005-0000-0000-000017080000}"/>
    <cellStyle name="Comma 29" xfId="414" xr:uid="{00000000-0005-0000-0000-000018080000}"/>
    <cellStyle name="Comma 29 10" xfId="2374" xr:uid="{00000000-0005-0000-0000-000019080000}"/>
    <cellStyle name="Comma 29 2" xfId="415" xr:uid="{00000000-0005-0000-0000-00001A080000}"/>
    <cellStyle name="Comma 29 2 2" xfId="416" xr:uid="{00000000-0005-0000-0000-00001B080000}"/>
    <cellStyle name="Comma 29 2 2 2" xfId="417" xr:uid="{00000000-0005-0000-0000-00001C080000}"/>
    <cellStyle name="Comma 29 2 2 2 2" xfId="1980" xr:uid="{00000000-0005-0000-0000-00001D080000}"/>
    <cellStyle name="Comma 29 2 2 2 2 2" xfId="4084" xr:uid="{00000000-0005-0000-0000-00001E080000}"/>
    <cellStyle name="Comma 29 2 2 2 3" xfId="4458" xr:uid="{00000000-0005-0000-0000-00001F080000}"/>
    <cellStyle name="Comma 29 2 2 2 4" xfId="3140" xr:uid="{00000000-0005-0000-0000-000020080000}"/>
    <cellStyle name="Comma 29 2 2 3" xfId="1406" xr:uid="{00000000-0005-0000-0000-000021080000}"/>
    <cellStyle name="Comma 29 2 2 3 2" xfId="3958" xr:uid="{00000000-0005-0000-0000-000022080000}"/>
    <cellStyle name="Comma 29 2 2 4" xfId="4330" xr:uid="{00000000-0005-0000-0000-000023080000}"/>
    <cellStyle name="Comma 29 2 2 5" xfId="2565" xr:uid="{00000000-0005-0000-0000-000024080000}"/>
    <cellStyle name="Comma 29 2 3" xfId="418" xr:uid="{00000000-0005-0000-0000-000025080000}"/>
    <cellStyle name="Comma 29 2 3 2" xfId="419" xr:uid="{00000000-0005-0000-0000-000026080000}"/>
    <cellStyle name="Comma 29 2 3 2 2" xfId="2116" xr:uid="{00000000-0005-0000-0000-000027080000}"/>
    <cellStyle name="Comma 29 2 3 2 2 2" xfId="3830" xr:uid="{00000000-0005-0000-0000-000028080000}"/>
    <cellStyle name="Comma 29 2 3 2 3" xfId="4210" xr:uid="{00000000-0005-0000-0000-000029080000}"/>
    <cellStyle name="Comma 29 2 3 2 4" xfId="3276" xr:uid="{00000000-0005-0000-0000-00002A080000}"/>
    <cellStyle name="Comma 29 2 3 3" xfId="1542" xr:uid="{00000000-0005-0000-0000-00002B080000}"/>
    <cellStyle name="Comma 29 2 3 3 2" xfId="3709" xr:uid="{00000000-0005-0000-0000-00002C080000}"/>
    <cellStyle name="Comma 29 2 3 4" xfId="3578" xr:uid="{00000000-0005-0000-0000-00002D080000}"/>
    <cellStyle name="Comma 29 2 3 5" xfId="2701" xr:uid="{00000000-0005-0000-0000-00002E080000}"/>
    <cellStyle name="Comma 29 2 4" xfId="420" xr:uid="{00000000-0005-0000-0000-00002F080000}"/>
    <cellStyle name="Comma 29 2 4 2" xfId="421" xr:uid="{00000000-0005-0000-0000-000030080000}"/>
    <cellStyle name="Comma 29 2 4 2 2" xfId="2262" xr:uid="{00000000-0005-0000-0000-000031080000}"/>
    <cellStyle name="Comma 29 2 4 2 2 2" xfId="3536" xr:uid="{00000000-0005-0000-0000-000032080000}"/>
    <cellStyle name="Comma 29 2 4 2 3" xfId="4027" xr:uid="{00000000-0005-0000-0000-000033080000}"/>
    <cellStyle name="Comma 29 2 4 2 4" xfId="3422" xr:uid="{00000000-0005-0000-0000-000034080000}"/>
    <cellStyle name="Comma 29 2 4 3" xfId="1688" xr:uid="{00000000-0005-0000-0000-000035080000}"/>
    <cellStyle name="Comma 29 2 4 3 2" xfId="4401" xr:uid="{00000000-0005-0000-0000-000036080000}"/>
    <cellStyle name="Comma 29 2 4 4" xfId="3901" xr:uid="{00000000-0005-0000-0000-000037080000}"/>
    <cellStyle name="Comma 29 2 4 5" xfId="2847" xr:uid="{00000000-0005-0000-0000-000038080000}"/>
    <cellStyle name="Comma 29 2 5" xfId="422" xr:uid="{00000000-0005-0000-0000-000039080000}"/>
    <cellStyle name="Comma 29 2 5 2" xfId="1837" xr:uid="{00000000-0005-0000-0000-00003A080000}"/>
    <cellStyle name="Comma 29 2 5 2 2" xfId="4273" xr:uid="{00000000-0005-0000-0000-00003B080000}"/>
    <cellStyle name="Comma 29 2 5 3" xfId="3773" xr:uid="{00000000-0005-0000-0000-00003C080000}"/>
    <cellStyle name="Comma 29 2 5 4" xfId="2997" xr:uid="{00000000-0005-0000-0000-00003D080000}"/>
    <cellStyle name="Comma 29 2 6" xfId="1262" xr:uid="{00000000-0005-0000-0000-00003E080000}"/>
    <cellStyle name="Comma 29 2 6 2" xfId="4154" xr:uid="{00000000-0005-0000-0000-00003F080000}"/>
    <cellStyle name="Comma 29 2 7" xfId="3652" xr:uid="{00000000-0005-0000-0000-000040080000}"/>
    <cellStyle name="Comma 29 2 8" xfId="2421" xr:uid="{00000000-0005-0000-0000-000041080000}"/>
    <cellStyle name="Comma 29 3" xfId="423" xr:uid="{00000000-0005-0000-0000-000042080000}"/>
    <cellStyle name="Comma 29 3 2" xfId="424" xr:uid="{00000000-0005-0000-0000-000043080000}"/>
    <cellStyle name="Comma 29 3 2 2" xfId="425" xr:uid="{00000000-0005-0000-0000-000044080000}"/>
    <cellStyle name="Comma 29 3 2 2 2" xfId="2020" xr:uid="{00000000-0005-0000-0000-000045080000}"/>
    <cellStyle name="Comma 29 3 2 2 2 2" xfId="4097" xr:uid="{00000000-0005-0000-0000-000046080000}"/>
    <cellStyle name="Comma 29 3 2 2 3" xfId="4471" xr:uid="{00000000-0005-0000-0000-000047080000}"/>
    <cellStyle name="Comma 29 3 2 2 4" xfId="3180" xr:uid="{00000000-0005-0000-0000-000048080000}"/>
    <cellStyle name="Comma 29 3 2 3" xfId="1446" xr:uid="{00000000-0005-0000-0000-000049080000}"/>
    <cellStyle name="Comma 29 3 2 3 2" xfId="3971" xr:uid="{00000000-0005-0000-0000-00004A080000}"/>
    <cellStyle name="Comma 29 3 2 4" xfId="4343" xr:uid="{00000000-0005-0000-0000-00004B080000}"/>
    <cellStyle name="Comma 29 3 2 5" xfId="2605" xr:uid="{00000000-0005-0000-0000-00004C080000}"/>
    <cellStyle name="Comma 29 3 3" xfId="426" xr:uid="{00000000-0005-0000-0000-00004D080000}"/>
    <cellStyle name="Comma 29 3 3 2" xfId="427" xr:uid="{00000000-0005-0000-0000-00004E080000}"/>
    <cellStyle name="Comma 29 3 3 2 2" xfId="2156" xr:uid="{00000000-0005-0000-0000-00004F080000}"/>
    <cellStyle name="Comma 29 3 3 2 2 2" xfId="3843" xr:uid="{00000000-0005-0000-0000-000050080000}"/>
    <cellStyle name="Comma 29 3 3 2 3" xfId="4223" xr:uid="{00000000-0005-0000-0000-000051080000}"/>
    <cellStyle name="Comma 29 3 3 2 4" xfId="3316" xr:uid="{00000000-0005-0000-0000-000052080000}"/>
    <cellStyle name="Comma 29 3 3 3" xfId="1582" xr:uid="{00000000-0005-0000-0000-000053080000}"/>
    <cellStyle name="Comma 29 3 3 3 2" xfId="3722" xr:uid="{00000000-0005-0000-0000-000054080000}"/>
    <cellStyle name="Comma 29 3 3 4" xfId="3591" xr:uid="{00000000-0005-0000-0000-000055080000}"/>
    <cellStyle name="Comma 29 3 3 5" xfId="2741" xr:uid="{00000000-0005-0000-0000-000056080000}"/>
    <cellStyle name="Comma 29 3 4" xfId="428" xr:uid="{00000000-0005-0000-0000-000057080000}"/>
    <cellStyle name="Comma 29 3 4 2" xfId="429" xr:uid="{00000000-0005-0000-0000-000058080000}"/>
    <cellStyle name="Comma 29 3 4 2 2" xfId="2302" xr:uid="{00000000-0005-0000-0000-000059080000}"/>
    <cellStyle name="Comma 29 3 4 2 2 2" xfId="4067" xr:uid="{00000000-0005-0000-0000-00005A080000}"/>
    <cellStyle name="Comma 29 3 4 2 3" xfId="4441" xr:uid="{00000000-0005-0000-0000-00005B080000}"/>
    <cellStyle name="Comma 29 3 4 2 4" xfId="3462" xr:uid="{00000000-0005-0000-0000-00005C080000}"/>
    <cellStyle name="Comma 29 3 4 3" xfId="1728" xr:uid="{00000000-0005-0000-0000-00005D080000}"/>
    <cellStyle name="Comma 29 3 4 3 2" xfId="3941" xr:uid="{00000000-0005-0000-0000-00005E080000}"/>
    <cellStyle name="Comma 29 3 4 4" xfId="4313" xr:uid="{00000000-0005-0000-0000-00005F080000}"/>
    <cellStyle name="Comma 29 3 4 5" xfId="2887" xr:uid="{00000000-0005-0000-0000-000060080000}"/>
    <cellStyle name="Comma 29 3 5" xfId="430" xr:uid="{00000000-0005-0000-0000-000061080000}"/>
    <cellStyle name="Comma 29 3 5 2" xfId="1877" xr:uid="{00000000-0005-0000-0000-000062080000}"/>
    <cellStyle name="Comma 29 3 5 2 2" xfId="3813" xr:uid="{00000000-0005-0000-0000-000063080000}"/>
    <cellStyle name="Comma 29 3 5 3" xfId="4193" xr:uid="{00000000-0005-0000-0000-000064080000}"/>
    <cellStyle name="Comma 29 3 5 4" xfId="3037" xr:uid="{00000000-0005-0000-0000-000065080000}"/>
    <cellStyle name="Comma 29 3 6" xfId="1302" xr:uid="{00000000-0005-0000-0000-000066080000}"/>
    <cellStyle name="Comma 29 3 6 2" xfId="3692" xr:uid="{00000000-0005-0000-0000-000067080000}"/>
    <cellStyle name="Comma 29 3 7" xfId="3561" xr:uid="{00000000-0005-0000-0000-000068080000}"/>
    <cellStyle name="Comma 29 3 8" xfId="2461" xr:uid="{00000000-0005-0000-0000-000069080000}"/>
    <cellStyle name="Comma 29 4" xfId="431" xr:uid="{00000000-0005-0000-0000-00006A080000}"/>
    <cellStyle name="Comma 29 4 2" xfId="432" xr:uid="{00000000-0005-0000-0000-00006B080000}"/>
    <cellStyle name="Comma 29 4 2 2" xfId="1934" xr:uid="{00000000-0005-0000-0000-00006C080000}"/>
    <cellStyle name="Comma 29 4 2 2 2" xfId="3519" xr:uid="{00000000-0005-0000-0000-00006D080000}"/>
    <cellStyle name="Comma 29 4 2 3" xfId="4026" xr:uid="{00000000-0005-0000-0000-00006E080000}"/>
    <cellStyle name="Comma 29 4 2 4" xfId="3094" xr:uid="{00000000-0005-0000-0000-00006F080000}"/>
    <cellStyle name="Comma 29 4 3" xfId="1359" xr:uid="{00000000-0005-0000-0000-000070080000}"/>
    <cellStyle name="Comma 29 4 3 2" xfId="4400" xr:uid="{00000000-0005-0000-0000-000071080000}"/>
    <cellStyle name="Comma 29 4 4" xfId="3900" xr:uid="{00000000-0005-0000-0000-000072080000}"/>
    <cellStyle name="Comma 29 4 5" xfId="2518" xr:uid="{00000000-0005-0000-0000-000073080000}"/>
    <cellStyle name="Comma 29 5" xfId="433" xr:uid="{00000000-0005-0000-0000-000074080000}"/>
    <cellStyle name="Comma 29 5 2" xfId="434" xr:uid="{00000000-0005-0000-0000-000075080000}"/>
    <cellStyle name="Comma 29 5 2 2" xfId="2069" xr:uid="{00000000-0005-0000-0000-000076080000}"/>
    <cellStyle name="Comma 29 5 2 2 2" xfId="4272" xr:uid="{00000000-0005-0000-0000-000077080000}"/>
    <cellStyle name="Comma 29 5 2 3" xfId="3772" xr:uid="{00000000-0005-0000-0000-000078080000}"/>
    <cellStyle name="Comma 29 5 2 4" xfId="3229" xr:uid="{00000000-0005-0000-0000-000079080000}"/>
    <cellStyle name="Comma 29 5 3" xfId="1495" xr:uid="{00000000-0005-0000-0000-00007A080000}"/>
    <cellStyle name="Comma 29 5 3 2" xfId="4153" xr:uid="{00000000-0005-0000-0000-00007B080000}"/>
    <cellStyle name="Comma 29 5 4" xfId="3651" xr:uid="{00000000-0005-0000-0000-00007C080000}"/>
    <cellStyle name="Comma 29 5 5" xfId="2654" xr:uid="{00000000-0005-0000-0000-00007D080000}"/>
    <cellStyle name="Comma 29 6" xfId="435" xr:uid="{00000000-0005-0000-0000-00007E080000}"/>
    <cellStyle name="Comma 29 6 2" xfId="436" xr:uid="{00000000-0005-0000-0000-00007F080000}"/>
    <cellStyle name="Comma 29 6 2 2" xfId="2215" xr:uid="{00000000-0005-0000-0000-000080080000}"/>
    <cellStyle name="Comma 29 6 2 2 2" xfId="4096" xr:uid="{00000000-0005-0000-0000-000081080000}"/>
    <cellStyle name="Comma 29 6 2 3" xfId="4470" xr:uid="{00000000-0005-0000-0000-000082080000}"/>
    <cellStyle name="Comma 29 6 2 4" xfId="3375" xr:uid="{00000000-0005-0000-0000-000083080000}"/>
    <cellStyle name="Comma 29 6 3" xfId="1641" xr:uid="{00000000-0005-0000-0000-000084080000}"/>
    <cellStyle name="Comma 29 6 3 2" xfId="3970" xr:uid="{00000000-0005-0000-0000-000085080000}"/>
    <cellStyle name="Comma 29 6 4" xfId="4342" xr:uid="{00000000-0005-0000-0000-000086080000}"/>
    <cellStyle name="Comma 29 6 5" xfId="2800" xr:uid="{00000000-0005-0000-0000-000087080000}"/>
    <cellStyle name="Comma 29 7" xfId="437" xr:uid="{00000000-0005-0000-0000-000088080000}"/>
    <cellStyle name="Comma 29 7 2" xfId="1790" xr:uid="{00000000-0005-0000-0000-000089080000}"/>
    <cellStyle name="Comma 29 7 2 2" xfId="3842" xr:uid="{00000000-0005-0000-0000-00008A080000}"/>
    <cellStyle name="Comma 29 7 3" xfId="4222" xr:uid="{00000000-0005-0000-0000-00008B080000}"/>
    <cellStyle name="Comma 29 7 4" xfId="2950" xr:uid="{00000000-0005-0000-0000-00008C080000}"/>
    <cellStyle name="Comma 29 8" xfId="1215" xr:uid="{00000000-0005-0000-0000-00008D080000}"/>
    <cellStyle name="Comma 29 8 2" xfId="3721" xr:uid="{00000000-0005-0000-0000-00008E080000}"/>
    <cellStyle name="Comma 29 9" xfId="3590" xr:uid="{00000000-0005-0000-0000-00008F080000}"/>
    <cellStyle name="Comma 3" xfId="438" xr:uid="{00000000-0005-0000-0000-000090080000}"/>
    <cellStyle name="Comma 3 10" xfId="4066" xr:uid="{00000000-0005-0000-0000-000091080000}"/>
    <cellStyle name="Comma 3 11" xfId="2357" xr:uid="{00000000-0005-0000-0000-000092080000}"/>
    <cellStyle name="Comma 3 2" xfId="439" xr:uid="{00000000-0005-0000-0000-000093080000}"/>
    <cellStyle name="Comma 3 2 2" xfId="440" xr:uid="{00000000-0005-0000-0000-000094080000}"/>
    <cellStyle name="Comma 3 2 2 2" xfId="441" xr:uid="{00000000-0005-0000-0000-000095080000}"/>
    <cellStyle name="Comma 3 2 2 2 2" xfId="1963" xr:uid="{00000000-0005-0000-0000-000096080000}"/>
    <cellStyle name="Comma 3 2 2 2 2 2" xfId="4440" xr:uid="{00000000-0005-0000-0000-000097080000}"/>
    <cellStyle name="Comma 3 2 2 2 3" xfId="3940" xr:uid="{00000000-0005-0000-0000-000098080000}"/>
    <cellStyle name="Comma 3 2 2 2 4" xfId="3123" xr:uid="{00000000-0005-0000-0000-000099080000}"/>
    <cellStyle name="Comma 3 2 2 3" xfId="1389" xr:uid="{00000000-0005-0000-0000-00009A080000}"/>
    <cellStyle name="Comma 3 2 2 3 2" xfId="4312" xr:uid="{00000000-0005-0000-0000-00009B080000}"/>
    <cellStyle name="Comma 3 2 2 4" xfId="3812" xr:uid="{00000000-0005-0000-0000-00009C080000}"/>
    <cellStyle name="Comma 3 2 2 5" xfId="2548" xr:uid="{00000000-0005-0000-0000-00009D080000}"/>
    <cellStyle name="Comma 3 2 3" xfId="442" xr:uid="{00000000-0005-0000-0000-00009E080000}"/>
    <cellStyle name="Comma 3 2 3 2" xfId="443" xr:uid="{00000000-0005-0000-0000-00009F080000}"/>
    <cellStyle name="Comma 3 2 3 2 2" xfId="2099" xr:uid="{00000000-0005-0000-0000-0000A0080000}"/>
    <cellStyle name="Comma 3 2 3 2 2 2" xfId="4192" xr:uid="{00000000-0005-0000-0000-0000A1080000}"/>
    <cellStyle name="Comma 3 2 3 2 3" xfId="3691" xr:uid="{00000000-0005-0000-0000-0000A2080000}"/>
    <cellStyle name="Comma 3 2 3 2 4" xfId="3259" xr:uid="{00000000-0005-0000-0000-0000A3080000}"/>
    <cellStyle name="Comma 3 2 3 3" xfId="1525" xr:uid="{00000000-0005-0000-0000-0000A4080000}"/>
    <cellStyle name="Comma 3 2 3 3 2" xfId="3560" xr:uid="{00000000-0005-0000-0000-0000A5080000}"/>
    <cellStyle name="Comma 3 2 3 4" xfId="3518" xr:uid="{00000000-0005-0000-0000-0000A6080000}"/>
    <cellStyle name="Comma 3 2 3 5" xfId="2684" xr:uid="{00000000-0005-0000-0000-0000A7080000}"/>
    <cellStyle name="Comma 3 2 4" xfId="444" xr:uid="{00000000-0005-0000-0000-0000A8080000}"/>
    <cellStyle name="Comma 3 2 4 2" xfId="445" xr:uid="{00000000-0005-0000-0000-0000A9080000}"/>
    <cellStyle name="Comma 3 2 4 2 2" xfId="2245" xr:uid="{00000000-0005-0000-0000-0000AA080000}"/>
    <cellStyle name="Comma 3 2 4 2 2 2" xfId="4025" xr:uid="{00000000-0005-0000-0000-0000AB080000}"/>
    <cellStyle name="Comma 3 2 4 2 3" xfId="4399" xr:uid="{00000000-0005-0000-0000-0000AC080000}"/>
    <cellStyle name="Comma 3 2 4 2 4" xfId="3405" xr:uid="{00000000-0005-0000-0000-0000AD080000}"/>
    <cellStyle name="Comma 3 2 4 3" xfId="1671" xr:uid="{00000000-0005-0000-0000-0000AE080000}"/>
    <cellStyle name="Comma 3 2 4 3 2" xfId="3899" xr:uid="{00000000-0005-0000-0000-0000AF080000}"/>
    <cellStyle name="Comma 3 2 4 4" xfId="4271" xr:uid="{00000000-0005-0000-0000-0000B0080000}"/>
    <cellStyle name="Comma 3 2 4 5" xfId="2830" xr:uid="{00000000-0005-0000-0000-0000B1080000}"/>
    <cellStyle name="Comma 3 2 5" xfId="446" xr:uid="{00000000-0005-0000-0000-0000B2080000}"/>
    <cellStyle name="Comma 3 2 5 2" xfId="1820" xr:uid="{00000000-0005-0000-0000-0000B3080000}"/>
    <cellStyle name="Comma 3 2 5 2 2" xfId="3771" xr:uid="{00000000-0005-0000-0000-0000B4080000}"/>
    <cellStyle name="Comma 3 2 5 3" xfId="4152" xr:uid="{00000000-0005-0000-0000-0000B5080000}"/>
    <cellStyle name="Comma 3 2 5 4" xfId="2980" xr:uid="{00000000-0005-0000-0000-0000B6080000}"/>
    <cellStyle name="Comma 3 2 6" xfId="1245" xr:uid="{00000000-0005-0000-0000-0000B7080000}"/>
    <cellStyle name="Comma 3 2 6 2" xfId="3650" xr:uid="{00000000-0005-0000-0000-0000B8080000}"/>
    <cellStyle name="Comma 3 2 7" xfId="4095" xr:uid="{00000000-0005-0000-0000-0000B9080000}"/>
    <cellStyle name="Comma 3 2 8" xfId="2404" xr:uid="{00000000-0005-0000-0000-0000BA080000}"/>
    <cellStyle name="Comma 3 3" xfId="447" xr:uid="{00000000-0005-0000-0000-0000BB080000}"/>
    <cellStyle name="Comma 3 3 2" xfId="448" xr:uid="{00000000-0005-0000-0000-0000BC080000}"/>
    <cellStyle name="Comma 3 3 2 2" xfId="449" xr:uid="{00000000-0005-0000-0000-0000BD080000}"/>
    <cellStyle name="Comma 3 3 2 2 2" xfId="2021" xr:uid="{00000000-0005-0000-0000-0000BE080000}"/>
    <cellStyle name="Comma 3 3 2 2 2 2" xfId="4469" xr:uid="{00000000-0005-0000-0000-0000BF080000}"/>
    <cellStyle name="Comma 3 3 2 2 3" xfId="3969" xr:uid="{00000000-0005-0000-0000-0000C0080000}"/>
    <cellStyle name="Comma 3 3 2 2 4" xfId="3181" xr:uid="{00000000-0005-0000-0000-0000C1080000}"/>
    <cellStyle name="Comma 3 3 2 3" xfId="1447" xr:uid="{00000000-0005-0000-0000-0000C2080000}"/>
    <cellStyle name="Comma 3 3 2 3 2" xfId="4341" xr:uid="{00000000-0005-0000-0000-0000C3080000}"/>
    <cellStyle name="Comma 3 3 2 4" xfId="3841" xr:uid="{00000000-0005-0000-0000-0000C4080000}"/>
    <cellStyle name="Comma 3 3 2 5" xfId="2606" xr:uid="{00000000-0005-0000-0000-0000C5080000}"/>
    <cellStyle name="Comma 3 3 3" xfId="450" xr:uid="{00000000-0005-0000-0000-0000C6080000}"/>
    <cellStyle name="Comma 3 3 3 2" xfId="451" xr:uid="{00000000-0005-0000-0000-0000C7080000}"/>
    <cellStyle name="Comma 3 3 3 2 2" xfId="2157" xr:uid="{00000000-0005-0000-0000-0000C8080000}"/>
    <cellStyle name="Comma 3 3 3 2 2 2" xfId="4221" xr:uid="{00000000-0005-0000-0000-0000C9080000}"/>
    <cellStyle name="Comma 3 3 3 2 3" xfId="3720" xr:uid="{00000000-0005-0000-0000-0000CA080000}"/>
    <cellStyle name="Comma 3 3 3 2 4" xfId="3317" xr:uid="{00000000-0005-0000-0000-0000CB080000}"/>
    <cellStyle name="Comma 3 3 3 3" xfId="1583" xr:uid="{00000000-0005-0000-0000-0000CC080000}"/>
    <cellStyle name="Comma 3 3 3 3 2" xfId="3589" xr:uid="{00000000-0005-0000-0000-0000CD080000}"/>
    <cellStyle name="Comma 3 3 3 4" xfId="4065" xr:uid="{00000000-0005-0000-0000-0000CE080000}"/>
    <cellStyle name="Comma 3 3 3 5" xfId="2742" xr:uid="{00000000-0005-0000-0000-0000CF080000}"/>
    <cellStyle name="Comma 3 3 4" xfId="452" xr:uid="{00000000-0005-0000-0000-0000D0080000}"/>
    <cellStyle name="Comma 3 3 4 2" xfId="453" xr:uid="{00000000-0005-0000-0000-0000D1080000}"/>
    <cellStyle name="Comma 3 3 4 2 2" xfId="2303" xr:uid="{00000000-0005-0000-0000-0000D2080000}"/>
    <cellStyle name="Comma 3 3 4 2 2 2" xfId="4439" xr:uid="{00000000-0005-0000-0000-0000D3080000}"/>
    <cellStyle name="Comma 3 3 4 2 3" xfId="3939" xr:uid="{00000000-0005-0000-0000-0000D4080000}"/>
    <cellStyle name="Comma 3 3 4 2 4" xfId="3463" xr:uid="{00000000-0005-0000-0000-0000D5080000}"/>
    <cellStyle name="Comma 3 3 4 3" xfId="1729" xr:uid="{00000000-0005-0000-0000-0000D6080000}"/>
    <cellStyle name="Comma 3 3 4 3 2" xfId="4311" xr:uid="{00000000-0005-0000-0000-0000D7080000}"/>
    <cellStyle name="Comma 3 3 4 4" xfId="3811" xr:uid="{00000000-0005-0000-0000-0000D8080000}"/>
    <cellStyle name="Comma 3 3 4 5" xfId="2888" xr:uid="{00000000-0005-0000-0000-0000D9080000}"/>
    <cellStyle name="Comma 3 3 5" xfId="454" xr:uid="{00000000-0005-0000-0000-0000DA080000}"/>
    <cellStyle name="Comma 3 3 5 2" xfId="1878" xr:uid="{00000000-0005-0000-0000-0000DB080000}"/>
    <cellStyle name="Comma 3 3 5 2 2" xfId="4191" xr:uid="{00000000-0005-0000-0000-0000DC080000}"/>
    <cellStyle name="Comma 3 3 5 3" xfId="3690" xr:uid="{00000000-0005-0000-0000-0000DD080000}"/>
    <cellStyle name="Comma 3 3 5 4" xfId="3038" xr:uid="{00000000-0005-0000-0000-0000DE080000}"/>
    <cellStyle name="Comma 3 3 6" xfId="1303" xr:uid="{00000000-0005-0000-0000-0000DF080000}"/>
    <cellStyle name="Comma 3 3 6 2" xfId="3559" xr:uid="{00000000-0005-0000-0000-0000E0080000}"/>
    <cellStyle name="Comma 3 3 7" xfId="3517" xr:uid="{00000000-0005-0000-0000-0000E1080000}"/>
    <cellStyle name="Comma 3 3 8" xfId="2462" xr:uid="{00000000-0005-0000-0000-0000E2080000}"/>
    <cellStyle name="Comma 3 4" xfId="455" xr:uid="{00000000-0005-0000-0000-0000E3080000}"/>
    <cellStyle name="Comma 3 4 2" xfId="456" xr:uid="{00000000-0005-0000-0000-0000E4080000}"/>
    <cellStyle name="Comma 3 4 2 2" xfId="1917" xr:uid="{00000000-0005-0000-0000-0000E5080000}"/>
    <cellStyle name="Comma 3 4 2 2 2" xfId="4024" xr:uid="{00000000-0005-0000-0000-0000E6080000}"/>
    <cellStyle name="Comma 3 4 2 3" xfId="4398" xr:uid="{00000000-0005-0000-0000-0000E7080000}"/>
    <cellStyle name="Comma 3 4 2 4" xfId="3077" xr:uid="{00000000-0005-0000-0000-0000E8080000}"/>
    <cellStyle name="Comma 3 4 3" xfId="1342" xr:uid="{00000000-0005-0000-0000-0000E9080000}"/>
    <cellStyle name="Comma 3 4 3 2" xfId="3898" xr:uid="{00000000-0005-0000-0000-0000EA080000}"/>
    <cellStyle name="Comma 3 4 4" xfId="4270" xr:uid="{00000000-0005-0000-0000-0000EB080000}"/>
    <cellStyle name="Comma 3 4 5" xfId="2501" xr:uid="{00000000-0005-0000-0000-0000EC080000}"/>
    <cellStyle name="Comma 3 5" xfId="457" xr:uid="{00000000-0005-0000-0000-0000ED080000}"/>
    <cellStyle name="Comma 3 5 2" xfId="458" xr:uid="{00000000-0005-0000-0000-0000EE080000}"/>
    <cellStyle name="Comma 3 5 2 2" xfId="2052" xr:uid="{00000000-0005-0000-0000-0000EF080000}"/>
    <cellStyle name="Comma 3 5 2 2 2" xfId="3770" xr:uid="{00000000-0005-0000-0000-0000F0080000}"/>
    <cellStyle name="Comma 3 5 2 3" xfId="4151" xr:uid="{00000000-0005-0000-0000-0000F1080000}"/>
    <cellStyle name="Comma 3 5 2 4" xfId="3212" xr:uid="{00000000-0005-0000-0000-0000F2080000}"/>
    <cellStyle name="Comma 3 5 3" xfId="1478" xr:uid="{00000000-0005-0000-0000-0000F3080000}"/>
    <cellStyle name="Comma 3 5 3 2" xfId="3649" xr:uid="{00000000-0005-0000-0000-0000F4080000}"/>
    <cellStyle name="Comma 3 5 4" xfId="4094" xr:uid="{00000000-0005-0000-0000-0000F5080000}"/>
    <cellStyle name="Comma 3 5 5" xfId="2637" xr:uid="{00000000-0005-0000-0000-0000F6080000}"/>
    <cellStyle name="Comma 3 6" xfId="459" xr:uid="{00000000-0005-0000-0000-0000F7080000}"/>
    <cellStyle name="Comma 3 6 2" xfId="460" xr:uid="{00000000-0005-0000-0000-0000F8080000}"/>
    <cellStyle name="Comma 3 6 2 2" xfId="2198" xr:uid="{00000000-0005-0000-0000-0000F9080000}"/>
    <cellStyle name="Comma 3 6 2 2 2" xfId="4468" xr:uid="{00000000-0005-0000-0000-0000FA080000}"/>
    <cellStyle name="Comma 3 6 2 3" xfId="3968" xr:uid="{00000000-0005-0000-0000-0000FB080000}"/>
    <cellStyle name="Comma 3 6 2 4" xfId="3358" xr:uid="{00000000-0005-0000-0000-0000FC080000}"/>
    <cellStyle name="Comma 3 6 3" xfId="1624" xr:uid="{00000000-0005-0000-0000-0000FD080000}"/>
    <cellStyle name="Comma 3 6 3 2" xfId="4340" xr:uid="{00000000-0005-0000-0000-0000FE080000}"/>
    <cellStyle name="Comma 3 6 4" xfId="3840" xr:uid="{00000000-0005-0000-0000-0000FF080000}"/>
    <cellStyle name="Comma 3 6 5" xfId="2783" xr:uid="{00000000-0005-0000-0000-000000090000}"/>
    <cellStyle name="Comma 3 7" xfId="461" xr:uid="{00000000-0005-0000-0000-000001090000}"/>
    <cellStyle name="Comma 3 7 2" xfId="1773" xr:uid="{00000000-0005-0000-0000-000002090000}"/>
    <cellStyle name="Comma 3 7 2 2" xfId="4220" xr:uid="{00000000-0005-0000-0000-000003090000}"/>
    <cellStyle name="Comma 3 7 3" xfId="3719" xr:uid="{00000000-0005-0000-0000-000004090000}"/>
    <cellStyle name="Comma 3 7 4" xfId="3588" xr:uid="{00000000-0005-0000-0000-000005090000}"/>
    <cellStyle name="Comma 3 7 5" xfId="2933" xr:uid="{00000000-0005-0000-0000-000006090000}"/>
    <cellStyle name="Comma 3 8" xfId="462" xr:uid="{00000000-0005-0000-0000-000007090000}"/>
    <cellStyle name="Comma 3 8 2" xfId="4064" xr:uid="{00000000-0005-0000-0000-000008090000}"/>
    <cellStyle name="Comma 3 9" xfId="1198" xr:uid="{00000000-0005-0000-0000-000009090000}"/>
    <cellStyle name="Comma 3 9 2" xfId="4438" xr:uid="{00000000-0005-0000-0000-00000A090000}"/>
    <cellStyle name="Comma 30" xfId="463" xr:uid="{00000000-0005-0000-0000-00000B090000}"/>
    <cellStyle name="Comma 30 10" xfId="2375" xr:uid="{00000000-0005-0000-0000-00000C090000}"/>
    <cellStyle name="Comma 30 2" xfId="464" xr:uid="{00000000-0005-0000-0000-00000D090000}"/>
    <cellStyle name="Comma 30 2 2" xfId="465" xr:uid="{00000000-0005-0000-0000-00000E090000}"/>
    <cellStyle name="Comma 30 2 2 2" xfId="466" xr:uid="{00000000-0005-0000-0000-00000F090000}"/>
    <cellStyle name="Comma 30 2 2 2 2" xfId="1981" xr:uid="{00000000-0005-0000-0000-000010090000}"/>
    <cellStyle name="Comma 30 2 2 2 2 2" xfId="3938" xr:uid="{00000000-0005-0000-0000-000011090000}"/>
    <cellStyle name="Comma 30 2 2 2 3" xfId="4310" xr:uid="{00000000-0005-0000-0000-000012090000}"/>
    <cellStyle name="Comma 30 2 2 2 4" xfId="3141" xr:uid="{00000000-0005-0000-0000-000013090000}"/>
    <cellStyle name="Comma 30 2 2 3" xfId="1407" xr:uid="{00000000-0005-0000-0000-000014090000}"/>
    <cellStyle name="Comma 30 2 2 3 2" xfId="3810" xr:uid="{00000000-0005-0000-0000-000015090000}"/>
    <cellStyle name="Comma 30 2 2 4" xfId="4190" xr:uid="{00000000-0005-0000-0000-000016090000}"/>
    <cellStyle name="Comma 30 2 2 5" xfId="2566" xr:uid="{00000000-0005-0000-0000-000017090000}"/>
    <cellStyle name="Comma 30 2 3" xfId="467" xr:uid="{00000000-0005-0000-0000-000018090000}"/>
    <cellStyle name="Comma 30 2 3 2" xfId="468" xr:uid="{00000000-0005-0000-0000-000019090000}"/>
    <cellStyle name="Comma 30 2 3 2 2" xfId="2117" xr:uid="{00000000-0005-0000-0000-00001A090000}"/>
    <cellStyle name="Comma 30 2 3 2 2 2" xfId="3689" xr:uid="{00000000-0005-0000-0000-00001B090000}"/>
    <cellStyle name="Comma 30 2 3 2 3" xfId="3558" xr:uid="{00000000-0005-0000-0000-00001C090000}"/>
    <cellStyle name="Comma 30 2 3 2 4" xfId="3277" xr:uid="{00000000-0005-0000-0000-00001D090000}"/>
    <cellStyle name="Comma 30 2 3 3" xfId="1543" xr:uid="{00000000-0005-0000-0000-00001E090000}"/>
    <cellStyle name="Comma 30 2 3 3 2" xfId="3516" xr:uid="{00000000-0005-0000-0000-00001F090000}"/>
    <cellStyle name="Comma 30 2 3 4" xfId="4043" xr:uid="{00000000-0005-0000-0000-000020090000}"/>
    <cellStyle name="Comma 30 2 3 5" xfId="2702" xr:uid="{00000000-0005-0000-0000-000021090000}"/>
    <cellStyle name="Comma 30 2 4" xfId="469" xr:uid="{00000000-0005-0000-0000-000022090000}"/>
    <cellStyle name="Comma 30 2 4 2" xfId="470" xr:uid="{00000000-0005-0000-0000-000023090000}"/>
    <cellStyle name="Comma 30 2 4 2 2" xfId="2263" xr:uid="{00000000-0005-0000-0000-000024090000}"/>
    <cellStyle name="Comma 30 2 4 2 2 2" xfId="4417" xr:uid="{00000000-0005-0000-0000-000025090000}"/>
    <cellStyle name="Comma 30 2 4 2 3" xfId="3917" xr:uid="{00000000-0005-0000-0000-000026090000}"/>
    <cellStyle name="Comma 30 2 4 2 4" xfId="3423" xr:uid="{00000000-0005-0000-0000-000027090000}"/>
    <cellStyle name="Comma 30 2 4 3" xfId="1689" xr:uid="{00000000-0005-0000-0000-000028090000}"/>
    <cellStyle name="Comma 30 2 4 3 2" xfId="4289" xr:uid="{00000000-0005-0000-0000-000029090000}"/>
    <cellStyle name="Comma 30 2 4 4" xfId="3789" xr:uid="{00000000-0005-0000-0000-00002A090000}"/>
    <cellStyle name="Comma 30 2 4 5" xfId="2848" xr:uid="{00000000-0005-0000-0000-00002B090000}"/>
    <cellStyle name="Comma 30 2 5" xfId="471" xr:uid="{00000000-0005-0000-0000-00002C090000}"/>
    <cellStyle name="Comma 30 2 5 2" xfId="1838" xr:uid="{00000000-0005-0000-0000-00002D090000}"/>
    <cellStyle name="Comma 30 2 5 2 2" xfId="4170" xr:uid="{00000000-0005-0000-0000-00002E090000}"/>
    <cellStyle name="Comma 30 2 5 3" xfId="3668" xr:uid="{00000000-0005-0000-0000-00002F090000}"/>
    <cellStyle name="Comma 30 2 5 4" xfId="2998" xr:uid="{00000000-0005-0000-0000-000030090000}"/>
    <cellStyle name="Comma 30 2 6" xfId="1263" xr:uid="{00000000-0005-0000-0000-000031090000}"/>
    <cellStyle name="Comma 30 2 6 2" xfId="4093" xr:uid="{00000000-0005-0000-0000-000032090000}"/>
    <cellStyle name="Comma 30 2 7" xfId="4467" xr:uid="{00000000-0005-0000-0000-000033090000}"/>
    <cellStyle name="Comma 30 2 8" xfId="2422" xr:uid="{00000000-0005-0000-0000-000034090000}"/>
    <cellStyle name="Comma 30 3" xfId="472" xr:uid="{00000000-0005-0000-0000-000035090000}"/>
    <cellStyle name="Comma 30 3 2" xfId="473" xr:uid="{00000000-0005-0000-0000-000036090000}"/>
    <cellStyle name="Comma 30 3 2 2" xfId="474" xr:uid="{00000000-0005-0000-0000-000037090000}"/>
    <cellStyle name="Comma 30 3 2 2 2" xfId="2022" xr:uid="{00000000-0005-0000-0000-000038090000}"/>
    <cellStyle name="Comma 30 3 2 2 2 2" xfId="3967" xr:uid="{00000000-0005-0000-0000-000039090000}"/>
    <cellStyle name="Comma 30 3 2 2 3" xfId="4339" xr:uid="{00000000-0005-0000-0000-00003A090000}"/>
    <cellStyle name="Comma 30 3 2 2 4" xfId="3182" xr:uid="{00000000-0005-0000-0000-00003B090000}"/>
    <cellStyle name="Comma 30 3 2 3" xfId="1448" xr:uid="{00000000-0005-0000-0000-00003C090000}"/>
    <cellStyle name="Comma 30 3 2 3 2" xfId="3839" xr:uid="{00000000-0005-0000-0000-00003D090000}"/>
    <cellStyle name="Comma 30 3 2 4" xfId="4219" xr:uid="{00000000-0005-0000-0000-00003E090000}"/>
    <cellStyle name="Comma 30 3 2 5" xfId="2607" xr:uid="{00000000-0005-0000-0000-00003F090000}"/>
    <cellStyle name="Comma 30 3 3" xfId="475" xr:uid="{00000000-0005-0000-0000-000040090000}"/>
    <cellStyle name="Comma 30 3 3 2" xfId="476" xr:uid="{00000000-0005-0000-0000-000041090000}"/>
    <cellStyle name="Comma 30 3 3 2 2" xfId="2158" xr:uid="{00000000-0005-0000-0000-000042090000}"/>
    <cellStyle name="Comma 30 3 3 2 2 2" xfId="3718" xr:uid="{00000000-0005-0000-0000-000043090000}"/>
    <cellStyle name="Comma 30 3 3 2 3" xfId="3587" xr:uid="{00000000-0005-0000-0000-000044090000}"/>
    <cellStyle name="Comma 30 3 3 2 4" xfId="3318" xr:uid="{00000000-0005-0000-0000-000045090000}"/>
    <cellStyle name="Comma 30 3 3 3" xfId="1584" xr:uid="{00000000-0005-0000-0000-000046090000}"/>
    <cellStyle name="Comma 30 3 3 3 2" xfId="4083" xr:uid="{00000000-0005-0000-0000-000047090000}"/>
    <cellStyle name="Comma 30 3 3 4" xfId="4457" xr:uid="{00000000-0005-0000-0000-000048090000}"/>
    <cellStyle name="Comma 30 3 3 5" xfId="2743" xr:uid="{00000000-0005-0000-0000-000049090000}"/>
    <cellStyle name="Comma 30 3 4" xfId="477" xr:uid="{00000000-0005-0000-0000-00004A090000}"/>
    <cellStyle name="Comma 30 3 4 2" xfId="478" xr:uid="{00000000-0005-0000-0000-00004B090000}"/>
    <cellStyle name="Comma 30 3 4 2 2" xfId="2304" xr:uid="{00000000-0005-0000-0000-00004C090000}"/>
    <cellStyle name="Comma 30 3 4 2 2 2" xfId="3957" xr:uid="{00000000-0005-0000-0000-00004D090000}"/>
    <cellStyle name="Comma 30 3 4 2 3" xfId="4329" xr:uid="{00000000-0005-0000-0000-00004E090000}"/>
    <cellStyle name="Comma 30 3 4 2 4" xfId="3464" xr:uid="{00000000-0005-0000-0000-00004F090000}"/>
    <cellStyle name="Comma 30 3 4 3" xfId="1730" xr:uid="{00000000-0005-0000-0000-000050090000}"/>
    <cellStyle name="Comma 30 3 4 3 2" xfId="3829" xr:uid="{00000000-0005-0000-0000-000051090000}"/>
    <cellStyle name="Comma 30 3 4 4" xfId="4209" xr:uid="{00000000-0005-0000-0000-000052090000}"/>
    <cellStyle name="Comma 30 3 4 5" xfId="2889" xr:uid="{00000000-0005-0000-0000-000053090000}"/>
    <cellStyle name="Comma 30 3 5" xfId="479" xr:uid="{00000000-0005-0000-0000-000054090000}"/>
    <cellStyle name="Comma 30 3 5 2" xfId="1879" xr:uid="{00000000-0005-0000-0000-000055090000}"/>
    <cellStyle name="Comma 30 3 5 2 2" xfId="3708" xr:uid="{00000000-0005-0000-0000-000056090000}"/>
    <cellStyle name="Comma 30 3 5 3" xfId="3577" xr:uid="{00000000-0005-0000-0000-000057090000}"/>
    <cellStyle name="Comma 30 3 5 4" xfId="3039" xr:uid="{00000000-0005-0000-0000-000058090000}"/>
    <cellStyle name="Comma 30 3 6" xfId="1304" xr:uid="{00000000-0005-0000-0000-000059090000}"/>
    <cellStyle name="Comma 30 3 6 2" xfId="3535" xr:uid="{00000000-0005-0000-0000-00005A090000}"/>
    <cellStyle name="Comma 30 3 7" xfId="4023" xr:uid="{00000000-0005-0000-0000-00005B090000}"/>
    <cellStyle name="Comma 30 3 8" xfId="2463" xr:uid="{00000000-0005-0000-0000-00005C090000}"/>
    <cellStyle name="Comma 30 4" xfId="480" xr:uid="{00000000-0005-0000-0000-00005D090000}"/>
    <cellStyle name="Comma 30 4 2" xfId="481" xr:uid="{00000000-0005-0000-0000-00005E090000}"/>
    <cellStyle name="Comma 30 4 2 2" xfId="1935" xr:uid="{00000000-0005-0000-0000-00005F090000}"/>
    <cellStyle name="Comma 30 4 2 2 2" xfId="4397" xr:uid="{00000000-0005-0000-0000-000060090000}"/>
    <cellStyle name="Comma 30 4 2 3" xfId="3897" xr:uid="{00000000-0005-0000-0000-000061090000}"/>
    <cellStyle name="Comma 30 4 2 4" xfId="3095" xr:uid="{00000000-0005-0000-0000-000062090000}"/>
    <cellStyle name="Comma 30 4 3" xfId="1360" xr:uid="{00000000-0005-0000-0000-000063090000}"/>
    <cellStyle name="Comma 30 4 3 2" xfId="4269" xr:uid="{00000000-0005-0000-0000-000064090000}"/>
    <cellStyle name="Comma 30 4 4" xfId="3769" xr:uid="{00000000-0005-0000-0000-000065090000}"/>
    <cellStyle name="Comma 30 4 5" xfId="2519" xr:uid="{00000000-0005-0000-0000-000066090000}"/>
    <cellStyle name="Comma 30 5" xfId="482" xr:uid="{00000000-0005-0000-0000-000067090000}"/>
    <cellStyle name="Comma 30 5 2" xfId="483" xr:uid="{00000000-0005-0000-0000-000068090000}"/>
    <cellStyle name="Comma 30 5 2 2" xfId="2070" xr:uid="{00000000-0005-0000-0000-000069090000}"/>
    <cellStyle name="Comma 30 5 2 2 2" xfId="4150" xr:uid="{00000000-0005-0000-0000-00006A090000}"/>
    <cellStyle name="Comma 30 5 2 3" xfId="3648" xr:uid="{00000000-0005-0000-0000-00006B090000}"/>
    <cellStyle name="Comma 30 5 2 4" xfId="3230" xr:uid="{00000000-0005-0000-0000-00006C090000}"/>
    <cellStyle name="Comma 30 5 3" xfId="1496" xr:uid="{00000000-0005-0000-0000-00006D090000}"/>
    <cellStyle name="Comma 30 5 3 2" xfId="4092" xr:uid="{00000000-0005-0000-0000-00006E090000}"/>
    <cellStyle name="Comma 30 5 4" xfId="4466" xr:uid="{00000000-0005-0000-0000-00006F090000}"/>
    <cellStyle name="Comma 30 5 5" xfId="2655" xr:uid="{00000000-0005-0000-0000-000070090000}"/>
    <cellStyle name="Comma 30 6" xfId="484" xr:uid="{00000000-0005-0000-0000-000071090000}"/>
    <cellStyle name="Comma 30 6 2" xfId="485" xr:uid="{00000000-0005-0000-0000-000072090000}"/>
    <cellStyle name="Comma 30 6 2 2" xfId="2216" xr:uid="{00000000-0005-0000-0000-000073090000}"/>
    <cellStyle name="Comma 30 6 2 2 2" xfId="3966" xr:uid="{00000000-0005-0000-0000-000074090000}"/>
    <cellStyle name="Comma 30 6 2 3" xfId="4338" xr:uid="{00000000-0005-0000-0000-000075090000}"/>
    <cellStyle name="Comma 30 6 2 4" xfId="3376" xr:uid="{00000000-0005-0000-0000-000076090000}"/>
    <cellStyle name="Comma 30 6 3" xfId="1642" xr:uid="{00000000-0005-0000-0000-000077090000}"/>
    <cellStyle name="Comma 30 6 3 2" xfId="3838" xr:uid="{00000000-0005-0000-0000-000078090000}"/>
    <cellStyle name="Comma 30 6 4" xfId="4218" xr:uid="{00000000-0005-0000-0000-000079090000}"/>
    <cellStyle name="Comma 30 6 5" xfId="2801" xr:uid="{00000000-0005-0000-0000-00007A090000}"/>
    <cellStyle name="Comma 30 7" xfId="486" xr:uid="{00000000-0005-0000-0000-00007B090000}"/>
    <cellStyle name="Comma 30 7 2" xfId="1791" xr:uid="{00000000-0005-0000-0000-00007C090000}"/>
    <cellStyle name="Comma 30 7 2 2" xfId="3717" xr:uid="{00000000-0005-0000-0000-00007D090000}"/>
    <cellStyle name="Comma 30 7 3" xfId="3586" xr:uid="{00000000-0005-0000-0000-00007E090000}"/>
    <cellStyle name="Comma 30 7 4" xfId="2951" xr:uid="{00000000-0005-0000-0000-00007F090000}"/>
    <cellStyle name="Comma 30 8" xfId="1216" xr:uid="{00000000-0005-0000-0000-000080090000}"/>
    <cellStyle name="Comma 30 8 2" xfId="4063" xr:uid="{00000000-0005-0000-0000-000081090000}"/>
    <cellStyle name="Comma 30 9" xfId="4437" xr:uid="{00000000-0005-0000-0000-000082090000}"/>
    <cellStyle name="Comma 31" xfId="487" xr:uid="{00000000-0005-0000-0000-000083090000}"/>
    <cellStyle name="Comma 31 10" xfId="2376" xr:uid="{00000000-0005-0000-0000-000084090000}"/>
    <cellStyle name="Comma 31 2" xfId="488" xr:uid="{00000000-0005-0000-0000-000085090000}"/>
    <cellStyle name="Comma 31 2 2" xfId="489" xr:uid="{00000000-0005-0000-0000-000086090000}"/>
    <cellStyle name="Comma 31 2 2 2" xfId="490" xr:uid="{00000000-0005-0000-0000-000087090000}"/>
    <cellStyle name="Comma 31 2 2 2 2" xfId="1982" xr:uid="{00000000-0005-0000-0000-000088090000}"/>
    <cellStyle name="Comma 31 2 2 2 2 2" xfId="3937" xr:uid="{00000000-0005-0000-0000-000089090000}"/>
    <cellStyle name="Comma 31 2 2 2 3" xfId="4309" xr:uid="{00000000-0005-0000-0000-00008A090000}"/>
    <cellStyle name="Comma 31 2 2 2 4" xfId="3142" xr:uid="{00000000-0005-0000-0000-00008B090000}"/>
    <cellStyle name="Comma 31 2 2 3" xfId="1408" xr:uid="{00000000-0005-0000-0000-00008C090000}"/>
    <cellStyle name="Comma 31 2 2 3 2" xfId="3809" xr:uid="{00000000-0005-0000-0000-00008D090000}"/>
    <cellStyle name="Comma 31 2 2 4" xfId="4189" xr:uid="{00000000-0005-0000-0000-00008E090000}"/>
    <cellStyle name="Comma 31 2 2 5" xfId="2567" xr:uid="{00000000-0005-0000-0000-00008F090000}"/>
    <cellStyle name="Comma 31 2 3" xfId="491" xr:uid="{00000000-0005-0000-0000-000090090000}"/>
    <cellStyle name="Comma 31 2 3 2" xfId="492" xr:uid="{00000000-0005-0000-0000-000091090000}"/>
    <cellStyle name="Comma 31 2 3 2 2" xfId="2118" xr:uid="{00000000-0005-0000-0000-000092090000}"/>
    <cellStyle name="Comma 31 2 3 2 2 2" xfId="3688" xr:uid="{00000000-0005-0000-0000-000093090000}"/>
    <cellStyle name="Comma 31 2 3 2 3" xfId="3557" xr:uid="{00000000-0005-0000-0000-000094090000}"/>
    <cellStyle name="Comma 31 2 3 2 4" xfId="3278" xr:uid="{00000000-0005-0000-0000-000095090000}"/>
    <cellStyle name="Comma 31 2 3 3" xfId="1544" xr:uid="{00000000-0005-0000-0000-000096090000}"/>
    <cellStyle name="Comma 31 2 3 3 2" xfId="3515" xr:uid="{00000000-0005-0000-0000-000097090000}"/>
    <cellStyle name="Comma 31 2 3 4" xfId="4022" xr:uid="{00000000-0005-0000-0000-000098090000}"/>
    <cellStyle name="Comma 31 2 3 5" xfId="2703" xr:uid="{00000000-0005-0000-0000-000099090000}"/>
    <cellStyle name="Comma 31 2 4" xfId="493" xr:uid="{00000000-0005-0000-0000-00009A090000}"/>
    <cellStyle name="Comma 31 2 4 2" xfId="494" xr:uid="{00000000-0005-0000-0000-00009B090000}"/>
    <cellStyle name="Comma 31 2 4 2 2" xfId="2264" xr:uid="{00000000-0005-0000-0000-00009C090000}"/>
    <cellStyle name="Comma 31 2 4 2 2 2" xfId="4396" xr:uid="{00000000-0005-0000-0000-00009D090000}"/>
    <cellStyle name="Comma 31 2 4 2 3" xfId="3896" xr:uid="{00000000-0005-0000-0000-00009E090000}"/>
    <cellStyle name="Comma 31 2 4 2 4" xfId="3424" xr:uid="{00000000-0005-0000-0000-00009F090000}"/>
    <cellStyle name="Comma 31 2 4 3" xfId="1690" xr:uid="{00000000-0005-0000-0000-0000A0090000}"/>
    <cellStyle name="Comma 31 2 4 3 2" xfId="4268" xr:uid="{00000000-0005-0000-0000-0000A1090000}"/>
    <cellStyle name="Comma 31 2 4 4" xfId="3768" xr:uid="{00000000-0005-0000-0000-0000A2090000}"/>
    <cellStyle name="Comma 31 2 4 5" xfId="2849" xr:uid="{00000000-0005-0000-0000-0000A3090000}"/>
    <cellStyle name="Comma 31 2 5" xfId="495" xr:uid="{00000000-0005-0000-0000-0000A4090000}"/>
    <cellStyle name="Comma 31 2 5 2" xfId="1839" xr:uid="{00000000-0005-0000-0000-0000A5090000}"/>
    <cellStyle name="Comma 31 2 5 2 2" xfId="4149" xr:uid="{00000000-0005-0000-0000-0000A6090000}"/>
    <cellStyle name="Comma 31 2 5 3" xfId="3647" xr:uid="{00000000-0005-0000-0000-0000A7090000}"/>
    <cellStyle name="Comma 31 2 5 4" xfId="2999" xr:uid="{00000000-0005-0000-0000-0000A8090000}"/>
    <cellStyle name="Comma 31 2 6" xfId="1264" xr:uid="{00000000-0005-0000-0000-0000A9090000}"/>
    <cellStyle name="Comma 31 2 6 2" xfId="4091" xr:uid="{00000000-0005-0000-0000-0000AA090000}"/>
    <cellStyle name="Comma 31 2 7" xfId="4465" xr:uid="{00000000-0005-0000-0000-0000AB090000}"/>
    <cellStyle name="Comma 31 2 8" xfId="2423" xr:uid="{00000000-0005-0000-0000-0000AC090000}"/>
    <cellStyle name="Comma 31 3" xfId="496" xr:uid="{00000000-0005-0000-0000-0000AD090000}"/>
    <cellStyle name="Comma 31 3 2" xfId="497" xr:uid="{00000000-0005-0000-0000-0000AE090000}"/>
    <cellStyle name="Comma 31 3 2 2" xfId="498" xr:uid="{00000000-0005-0000-0000-0000AF090000}"/>
    <cellStyle name="Comma 31 3 2 2 2" xfId="2023" xr:uid="{00000000-0005-0000-0000-0000B0090000}"/>
    <cellStyle name="Comma 31 3 2 2 2 2" xfId="3965" xr:uid="{00000000-0005-0000-0000-0000B1090000}"/>
    <cellStyle name="Comma 31 3 2 2 3" xfId="4337" xr:uid="{00000000-0005-0000-0000-0000B2090000}"/>
    <cellStyle name="Comma 31 3 2 2 4" xfId="3183" xr:uid="{00000000-0005-0000-0000-0000B3090000}"/>
    <cellStyle name="Comma 31 3 2 3" xfId="1449" xr:uid="{00000000-0005-0000-0000-0000B4090000}"/>
    <cellStyle name="Comma 31 3 2 3 2" xfId="3837" xr:uid="{00000000-0005-0000-0000-0000B5090000}"/>
    <cellStyle name="Comma 31 3 2 4" xfId="4217" xr:uid="{00000000-0005-0000-0000-0000B6090000}"/>
    <cellStyle name="Comma 31 3 2 5" xfId="2608" xr:uid="{00000000-0005-0000-0000-0000B7090000}"/>
    <cellStyle name="Comma 31 3 3" xfId="499" xr:uid="{00000000-0005-0000-0000-0000B8090000}"/>
    <cellStyle name="Comma 31 3 3 2" xfId="500" xr:uid="{00000000-0005-0000-0000-0000B9090000}"/>
    <cellStyle name="Comma 31 3 3 2 2" xfId="2159" xr:uid="{00000000-0005-0000-0000-0000BA090000}"/>
    <cellStyle name="Comma 31 3 3 2 2 2" xfId="3716" xr:uid="{00000000-0005-0000-0000-0000BB090000}"/>
    <cellStyle name="Comma 31 3 3 2 3" xfId="3585" xr:uid="{00000000-0005-0000-0000-0000BC090000}"/>
    <cellStyle name="Comma 31 3 3 2 4" xfId="3319" xr:uid="{00000000-0005-0000-0000-0000BD090000}"/>
    <cellStyle name="Comma 31 3 3 3" xfId="1585" xr:uid="{00000000-0005-0000-0000-0000BE090000}"/>
    <cellStyle name="Comma 31 3 3 3 2" xfId="4062" xr:uid="{00000000-0005-0000-0000-0000BF090000}"/>
    <cellStyle name="Comma 31 3 3 4" xfId="4436" xr:uid="{00000000-0005-0000-0000-0000C0090000}"/>
    <cellStyle name="Comma 31 3 3 5" xfId="2744" xr:uid="{00000000-0005-0000-0000-0000C1090000}"/>
    <cellStyle name="Comma 31 3 4" xfId="501" xr:uid="{00000000-0005-0000-0000-0000C2090000}"/>
    <cellStyle name="Comma 31 3 4 2" xfId="502" xr:uid="{00000000-0005-0000-0000-0000C3090000}"/>
    <cellStyle name="Comma 31 3 4 2 2" xfId="2305" xr:uid="{00000000-0005-0000-0000-0000C4090000}"/>
    <cellStyle name="Comma 31 3 4 2 2 2" xfId="3936" xr:uid="{00000000-0005-0000-0000-0000C5090000}"/>
    <cellStyle name="Comma 31 3 4 2 3" xfId="4308" xr:uid="{00000000-0005-0000-0000-0000C6090000}"/>
    <cellStyle name="Comma 31 3 4 2 4" xfId="3465" xr:uid="{00000000-0005-0000-0000-0000C7090000}"/>
    <cellStyle name="Comma 31 3 4 3" xfId="1731" xr:uid="{00000000-0005-0000-0000-0000C8090000}"/>
    <cellStyle name="Comma 31 3 4 3 2" xfId="3808" xr:uid="{00000000-0005-0000-0000-0000C9090000}"/>
    <cellStyle name="Comma 31 3 4 4" xfId="4188" xr:uid="{00000000-0005-0000-0000-0000CA090000}"/>
    <cellStyle name="Comma 31 3 4 5" xfId="2890" xr:uid="{00000000-0005-0000-0000-0000CB090000}"/>
    <cellStyle name="Comma 31 3 5" xfId="503" xr:uid="{00000000-0005-0000-0000-0000CC090000}"/>
    <cellStyle name="Comma 31 3 5 2" xfId="1880" xr:uid="{00000000-0005-0000-0000-0000CD090000}"/>
    <cellStyle name="Comma 31 3 5 2 2" xfId="3687" xr:uid="{00000000-0005-0000-0000-0000CE090000}"/>
    <cellStyle name="Comma 31 3 5 3" xfId="3556" xr:uid="{00000000-0005-0000-0000-0000CF090000}"/>
    <cellStyle name="Comma 31 3 5 4" xfId="3040" xr:uid="{00000000-0005-0000-0000-0000D0090000}"/>
    <cellStyle name="Comma 31 3 6" xfId="1305" xr:uid="{00000000-0005-0000-0000-0000D1090000}"/>
    <cellStyle name="Comma 31 3 6 2" xfId="3514" xr:uid="{00000000-0005-0000-0000-0000D2090000}"/>
    <cellStyle name="Comma 31 3 7" xfId="3505" xr:uid="{00000000-0005-0000-0000-0000D3090000}"/>
    <cellStyle name="Comma 31 3 8" xfId="2464" xr:uid="{00000000-0005-0000-0000-0000D4090000}"/>
    <cellStyle name="Comma 31 4" xfId="504" xr:uid="{00000000-0005-0000-0000-0000D5090000}"/>
    <cellStyle name="Comma 31 4 2" xfId="505" xr:uid="{00000000-0005-0000-0000-0000D6090000}"/>
    <cellStyle name="Comma 31 4 2 2" xfId="1936" xr:uid="{00000000-0005-0000-0000-0000D7090000}"/>
    <cellStyle name="Comma 31 4 2 2 2" xfId="4515" xr:uid="{00000000-0005-0000-0000-0000D8090000}"/>
    <cellStyle name="Comma 31 4 2 3" xfId="4516" xr:uid="{00000000-0005-0000-0000-0000D9090000}"/>
    <cellStyle name="Comma 31 4 2 4" xfId="3096" xr:uid="{00000000-0005-0000-0000-0000DA090000}"/>
    <cellStyle name="Comma 31 4 3" xfId="1361" xr:uid="{00000000-0005-0000-0000-0000DB090000}"/>
    <cellStyle name="Comma 31 4 3 2" xfId="4517" xr:uid="{00000000-0005-0000-0000-0000DC090000}"/>
    <cellStyle name="Comma 31 4 4" xfId="4518" xr:uid="{00000000-0005-0000-0000-0000DD090000}"/>
    <cellStyle name="Comma 31 4 5" xfId="2520" xr:uid="{00000000-0005-0000-0000-0000DE090000}"/>
    <cellStyle name="Comma 31 5" xfId="506" xr:uid="{00000000-0005-0000-0000-0000DF090000}"/>
    <cellStyle name="Comma 31 5 2" xfId="507" xr:uid="{00000000-0005-0000-0000-0000E0090000}"/>
    <cellStyle name="Comma 31 5 2 2" xfId="2071" xr:uid="{00000000-0005-0000-0000-0000E1090000}"/>
    <cellStyle name="Comma 31 5 2 2 2" xfId="4519" xr:uid="{00000000-0005-0000-0000-0000E2090000}"/>
    <cellStyle name="Comma 31 5 2 3" xfId="4520" xr:uid="{00000000-0005-0000-0000-0000E3090000}"/>
    <cellStyle name="Comma 31 5 2 4" xfId="3231" xr:uid="{00000000-0005-0000-0000-0000E4090000}"/>
    <cellStyle name="Comma 31 5 3" xfId="1497" xr:uid="{00000000-0005-0000-0000-0000E5090000}"/>
    <cellStyle name="Comma 31 5 3 2" xfId="4521" xr:uid="{00000000-0005-0000-0000-0000E6090000}"/>
    <cellStyle name="Comma 31 5 4" xfId="4522" xr:uid="{00000000-0005-0000-0000-0000E7090000}"/>
    <cellStyle name="Comma 31 5 5" xfId="2656" xr:uid="{00000000-0005-0000-0000-0000E8090000}"/>
    <cellStyle name="Comma 31 6" xfId="508" xr:uid="{00000000-0005-0000-0000-0000E9090000}"/>
    <cellStyle name="Comma 31 6 2" xfId="509" xr:uid="{00000000-0005-0000-0000-0000EA090000}"/>
    <cellStyle name="Comma 31 6 2 2" xfId="2217" xr:uid="{00000000-0005-0000-0000-0000EB090000}"/>
    <cellStyle name="Comma 31 6 2 2 2" xfId="4523" xr:uid="{00000000-0005-0000-0000-0000EC090000}"/>
    <cellStyle name="Comma 31 6 2 3" xfId="4524" xr:uid="{00000000-0005-0000-0000-0000ED090000}"/>
    <cellStyle name="Comma 31 6 2 4" xfId="3377" xr:uid="{00000000-0005-0000-0000-0000EE090000}"/>
    <cellStyle name="Comma 31 6 3" xfId="1643" xr:uid="{00000000-0005-0000-0000-0000EF090000}"/>
    <cellStyle name="Comma 31 6 3 2" xfId="4525" xr:uid="{00000000-0005-0000-0000-0000F0090000}"/>
    <cellStyle name="Comma 31 6 4" xfId="4526" xr:uid="{00000000-0005-0000-0000-0000F1090000}"/>
    <cellStyle name="Comma 31 6 5" xfId="2802" xr:uid="{00000000-0005-0000-0000-0000F2090000}"/>
    <cellStyle name="Comma 31 7" xfId="510" xr:uid="{00000000-0005-0000-0000-0000F3090000}"/>
    <cellStyle name="Comma 31 7 2" xfId="1792" xr:uid="{00000000-0005-0000-0000-0000F4090000}"/>
    <cellStyle name="Comma 31 7 2 2" xfId="4527" xr:uid="{00000000-0005-0000-0000-0000F5090000}"/>
    <cellStyle name="Comma 31 7 3" xfId="4528" xr:uid="{00000000-0005-0000-0000-0000F6090000}"/>
    <cellStyle name="Comma 31 7 4" xfId="2952" xr:uid="{00000000-0005-0000-0000-0000F7090000}"/>
    <cellStyle name="Comma 31 8" xfId="1217" xr:uid="{00000000-0005-0000-0000-0000F8090000}"/>
    <cellStyle name="Comma 31 8 2" xfId="4529" xr:uid="{00000000-0005-0000-0000-0000F9090000}"/>
    <cellStyle name="Comma 31 9" xfId="4530" xr:uid="{00000000-0005-0000-0000-0000FA090000}"/>
    <cellStyle name="Comma 32" xfId="511" xr:uid="{00000000-0005-0000-0000-0000FB090000}"/>
    <cellStyle name="Comma 32 10" xfId="2377" xr:uid="{00000000-0005-0000-0000-0000FC090000}"/>
    <cellStyle name="Comma 32 2" xfId="512" xr:uid="{00000000-0005-0000-0000-0000FD090000}"/>
    <cellStyle name="Comma 32 2 2" xfId="513" xr:uid="{00000000-0005-0000-0000-0000FE090000}"/>
    <cellStyle name="Comma 32 2 2 2" xfId="514" xr:uid="{00000000-0005-0000-0000-0000FF090000}"/>
    <cellStyle name="Comma 32 2 2 2 2" xfId="1983" xr:uid="{00000000-0005-0000-0000-0000000A0000}"/>
    <cellStyle name="Comma 32 2 2 2 2 2" xfId="4531" xr:uid="{00000000-0005-0000-0000-0000010A0000}"/>
    <cellStyle name="Comma 32 2 2 2 3" xfId="4532" xr:uid="{00000000-0005-0000-0000-0000020A0000}"/>
    <cellStyle name="Comma 32 2 2 2 4" xfId="3143" xr:uid="{00000000-0005-0000-0000-0000030A0000}"/>
    <cellStyle name="Comma 32 2 2 3" xfId="1409" xr:uid="{00000000-0005-0000-0000-0000040A0000}"/>
    <cellStyle name="Comma 32 2 2 3 2" xfId="4533" xr:uid="{00000000-0005-0000-0000-0000050A0000}"/>
    <cellStyle name="Comma 32 2 2 4" xfId="4534" xr:uid="{00000000-0005-0000-0000-0000060A0000}"/>
    <cellStyle name="Comma 32 2 2 5" xfId="2568" xr:uid="{00000000-0005-0000-0000-0000070A0000}"/>
    <cellStyle name="Comma 32 2 3" xfId="515" xr:uid="{00000000-0005-0000-0000-0000080A0000}"/>
    <cellStyle name="Comma 32 2 3 2" xfId="516" xr:uid="{00000000-0005-0000-0000-0000090A0000}"/>
    <cellStyle name="Comma 32 2 3 2 2" xfId="2119" xr:uid="{00000000-0005-0000-0000-00000A0A0000}"/>
    <cellStyle name="Comma 32 2 3 2 2 2" xfId="4535" xr:uid="{00000000-0005-0000-0000-00000B0A0000}"/>
    <cellStyle name="Comma 32 2 3 2 3" xfId="4536" xr:uid="{00000000-0005-0000-0000-00000C0A0000}"/>
    <cellStyle name="Comma 32 2 3 2 4" xfId="3279" xr:uid="{00000000-0005-0000-0000-00000D0A0000}"/>
    <cellStyle name="Comma 32 2 3 3" xfId="1545" xr:uid="{00000000-0005-0000-0000-00000E0A0000}"/>
    <cellStyle name="Comma 32 2 3 3 2" xfId="4537" xr:uid="{00000000-0005-0000-0000-00000F0A0000}"/>
    <cellStyle name="Comma 32 2 3 4" xfId="4538" xr:uid="{00000000-0005-0000-0000-0000100A0000}"/>
    <cellStyle name="Comma 32 2 3 5" xfId="2704" xr:uid="{00000000-0005-0000-0000-0000110A0000}"/>
    <cellStyle name="Comma 32 2 4" xfId="517" xr:uid="{00000000-0005-0000-0000-0000120A0000}"/>
    <cellStyle name="Comma 32 2 4 2" xfId="518" xr:uid="{00000000-0005-0000-0000-0000130A0000}"/>
    <cellStyle name="Comma 32 2 4 2 2" xfId="2265" xr:uid="{00000000-0005-0000-0000-0000140A0000}"/>
    <cellStyle name="Comma 32 2 4 2 2 2" xfId="4539" xr:uid="{00000000-0005-0000-0000-0000150A0000}"/>
    <cellStyle name="Comma 32 2 4 2 3" xfId="4540" xr:uid="{00000000-0005-0000-0000-0000160A0000}"/>
    <cellStyle name="Comma 32 2 4 2 4" xfId="3425" xr:uid="{00000000-0005-0000-0000-0000170A0000}"/>
    <cellStyle name="Comma 32 2 4 3" xfId="1691" xr:uid="{00000000-0005-0000-0000-0000180A0000}"/>
    <cellStyle name="Comma 32 2 4 3 2" xfId="4541" xr:uid="{00000000-0005-0000-0000-0000190A0000}"/>
    <cellStyle name="Comma 32 2 4 4" xfId="4542" xr:uid="{00000000-0005-0000-0000-00001A0A0000}"/>
    <cellStyle name="Comma 32 2 4 5" xfId="2850" xr:uid="{00000000-0005-0000-0000-00001B0A0000}"/>
    <cellStyle name="Comma 32 2 5" xfId="519" xr:uid="{00000000-0005-0000-0000-00001C0A0000}"/>
    <cellStyle name="Comma 32 2 5 2" xfId="1840" xr:uid="{00000000-0005-0000-0000-00001D0A0000}"/>
    <cellStyle name="Comma 32 2 5 2 2" xfId="4543" xr:uid="{00000000-0005-0000-0000-00001E0A0000}"/>
    <cellStyle name="Comma 32 2 5 3" xfId="4544" xr:uid="{00000000-0005-0000-0000-00001F0A0000}"/>
    <cellStyle name="Comma 32 2 5 4" xfId="3000" xr:uid="{00000000-0005-0000-0000-0000200A0000}"/>
    <cellStyle name="Comma 32 2 6" xfId="1265" xr:uid="{00000000-0005-0000-0000-0000210A0000}"/>
    <cellStyle name="Comma 32 2 6 2" xfId="4545" xr:uid="{00000000-0005-0000-0000-0000220A0000}"/>
    <cellStyle name="Comma 32 2 7" xfId="4546" xr:uid="{00000000-0005-0000-0000-0000230A0000}"/>
    <cellStyle name="Comma 32 2 8" xfId="2424" xr:uid="{00000000-0005-0000-0000-0000240A0000}"/>
    <cellStyle name="Comma 32 3" xfId="520" xr:uid="{00000000-0005-0000-0000-0000250A0000}"/>
    <cellStyle name="Comma 32 3 2" xfId="521" xr:uid="{00000000-0005-0000-0000-0000260A0000}"/>
    <cellStyle name="Comma 32 3 2 2" xfId="522" xr:uid="{00000000-0005-0000-0000-0000270A0000}"/>
    <cellStyle name="Comma 32 3 2 2 2" xfId="2024" xr:uid="{00000000-0005-0000-0000-0000280A0000}"/>
    <cellStyle name="Comma 32 3 2 2 2 2" xfId="4547" xr:uid="{00000000-0005-0000-0000-0000290A0000}"/>
    <cellStyle name="Comma 32 3 2 2 3" xfId="4548" xr:uid="{00000000-0005-0000-0000-00002A0A0000}"/>
    <cellStyle name="Comma 32 3 2 2 4" xfId="3184" xr:uid="{00000000-0005-0000-0000-00002B0A0000}"/>
    <cellStyle name="Comma 32 3 2 3" xfId="1450" xr:uid="{00000000-0005-0000-0000-00002C0A0000}"/>
    <cellStyle name="Comma 32 3 2 3 2" xfId="4549" xr:uid="{00000000-0005-0000-0000-00002D0A0000}"/>
    <cellStyle name="Comma 32 3 2 4" xfId="4550" xr:uid="{00000000-0005-0000-0000-00002E0A0000}"/>
    <cellStyle name="Comma 32 3 2 5" xfId="2609" xr:uid="{00000000-0005-0000-0000-00002F0A0000}"/>
    <cellStyle name="Comma 32 3 3" xfId="523" xr:uid="{00000000-0005-0000-0000-0000300A0000}"/>
    <cellStyle name="Comma 32 3 3 2" xfId="524" xr:uid="{00000000-0005-0000-0000-0000310A0000}"/>
    <cellStyle name="Comma 32 3 3 2 2" xfId="2160" xr:uid="{00000000-0005-0000-0000-0000320A0000}"/>
    <cellStyle name="Comma 32 3 3 2 2 2" xfId="4551" xr:uid="{00000000-0005-0000-0000-0000330A0000}"/>
    <cellStyle name="Comma 32 3 3 2 3" xfId="4552" xr:uid="{00000000-0005-0000-0000-0000340A0000}"/>
    <cellStyle name="Comma 32 3 3 2 4" xfId="3320" xr:uid="{00000000-0005-0000-0000-0000350A0000}"/>
    <cellStyle name="Comma 32 3 3 3" xfId="1586" xr:uid="{00000000-0005-0000-0000-0000360A0000}"/>
    <cellStyle name="Comma 32 3 3 3 2" xfId="4553" xr:uid="{00000000-0005-0000-0000-0000370A0000}"/>
    <cellStyle name="Comma 32 3 3 4" xfId="4554" xr:uid="{00000000-0005-0000-0000-0000380A0000}"/>
    <cellStyle name="Comma 32 3 3 5" xfId="2745" xr:uid="{00000000-0005-0000-0000-0000390A0000}"/>
    <cellStyle name="Comma 32 3 4" xfId="525" xr:uid="{00000000-0005-0000-0000-00003A0A0000}"/>
    <cellStyle name="Comma 32 3 4 2" xfId="526" xr:uid="{00000000-0005-0000-0000-00003B0A0000}"/>
    <cellStyle name="Comma 32 3 4 2 2" xfId="2306" xr:uid="{00000000-0005-0000-0000-00003C0A0000}"/>
    <cellStyle name="Comma 32 3 4 2 2 2" xfId="4555" xr:uid="{00000000-0005-0000-0000-00003D0A0000}"/>
    <cellStyle name="Comma 32 3 4 2 3" xfId="4556" xr:uid="{00000000-0005-0000-0000-00003E0A0000}"/>
    <cellStyle name="Comma 32 3 4 2 4" xfId="3466" xr:uid="{00000000-0005-0000-0000-00003F0A0000}"/>
    <cellStyle name="Comma 32 3 4 3" xfId="1732" xr:uid="{00000000-0005-0000-0000-0000400A0000}"/>
    <cellStyle name="Comma 32 3 4 3 2" xfId="4557" xr:uid="{00000000-0005-0000-0000-0000410A0000}"/>
    <cellStyle name="Comma 32 3 4 4" xfId="4558" xr:uid="{00000000-0005-0000-0000-0000420A0000}"/>
    <cellStyle name="Comma 32 3 4 5" xfId="2891" xr:uid="{00000000-0005-0000-0000-0000430A0000}"/>
    <cellStyle name="Comma 32 3 5" xfId="527" xr:uid="{00000000-0005-0000-0000-0000440A0000}"/>
    <cellStyle name="Comma 32 3 5 2" xfId="1881" xr:uid="{00000000-0005-0000-0000-0000450A0000}"/>
    <cellStyle name="Comma 32 3 5 2 2" xfId="4559" xr:uid="{00000000-0005-0000-0000-0000460A0000}"/>
    <cellStyle name="Comma 32 3 5 3" xfId="4560" xr:uid="{00000000-0005-0000-0000-0000470A0000}"/>
    <cellStyle name="Comma 32 3 5 4" xfId="3041" xr:uid="{00000000-0005-0000-0000-0000480A0000}"/>
    <cellStyle name="Comma 32 3 6" xfId="1306" xr:uid="{00000000-0005-0000-0000-0000490A0000}"/>
    <cellStyle name="Comma 32 3 6 2" xfId="4561" xr:uid="{00000000-0005-0000-0000-00004A0A0000}"/>
    <cellStyle name="Comma 32 3 7" xfId="4562" xr:uid="{00000000-0005-0000-0000-00004B0A0000}"/>
    <cellStyle name="Comma 32 3 8" xfId="2465" xr:uid="{00000000-0005-0000-0000-00004C0A0000}"/>
    <cellStyle name="Comma 32 4" xfId="528" xr:uid="{00000000-0005-0000-0000-00004D0A0000}"/>
    <cellStyle name="Comma 32 4 2" xfId="529" xr:uid="{00000000-0005-0000-0000-00004E0A0000}"/>
    <cellStyle name="Comma 32 4 2 2" xfId="1937" xr:uid="{00000000-0005-0000-0000-00004F0A0000}"/>
    <cellStyle name="Comma 32 4 2 2 2" xfId="4563" xr:uid="{00000000-0005-0000-0000-0000500A0000}"/>
    <cellStyle name="Comma 32 4 2 3" xfId="4564" xr:uid="{00000000-0005-0000-0000-0000510A0000}"/>
    <cellStyle name="Comma 32 4 2 4" xfId="3097" xr:uid="{00000000-0005-0000-0000-0000520A0000}"/>
    <cellStyle name="Comma 32 4 3" xfId="1362" xr:uid="{00000000-0005-0000-0000-0000530A0000}"/>
    <cellStyle name="Comma 32 4 3 2" xfId="4565" xr:uid="{00000000-0005-0000-0000-0000540A0000}"/>
    <cellStyle name="Comma 32 4 4" xfId="4566" xr:uid="{00000000-0005-0000-0000-0000550A0000}"/>
    <cellStyle name="Comma 32 4 5" xfId="2521" xr:uid="{00000000-0005-0000-0000-0000560A0000}"/>
    <cellStyle name="Comma 32 5" xfId="530" xr:uid="{00000000-0005-0000-0000-0000570A0000}"/>
    <cellStyle name="Comma 32 5 2" xfId="531" xr:uid="{00000000-0005-0000-0000-0000580A0000}"/>
    <cellStyle name="Comma 32 5 2 2" xfId="2072" xr:uid="{00000000-0005-0000-0000-0000590A0000}"/>
    <cellStyle name="Comma 32 5 2 2 2" xfId="4567" xr:uid="{00000000-0005-0000-0000-00005A0A0000}"/>
    <cellStyle name="Comma 32 5 2 3" xfId="4568" xr:uid="{00000000-0005-0000-0000-00005B0A0000}"/>
    <cellStyle name="Comma 32 5 2 4" xfId="3232" xr:uid="{00000000-0005-0000-0000-00005C0A0000}"/>
    <cellStyle name="Comma 32 5 3" xfId="1498" xr:uid="{00000000-0005-0000-0000-00005D0A0000}"/>
    <cellStyle name="Comma 32 5 3 2" xfId="4569" xr:uid="{00000000-0005-0000-0000-00005E0A0000}"/>
    <cellStyle name="Comma 32 5 4" xfId="4570" xr:uid="{00000000-0005-0000-0000-00005F0A0000}"/>
    <cellStyle name="Comma 32 5 5" xfId="2657" xr:uid="{00000000-0005-0000-0000-0000600A0000}"/>
    <cellStyle name="Comma 32 6" xfId="532" xr:uid="{00000000-0005-0000-0000-0000610A0000}"/>
    <cellStyle name="Comma 32 6 2" xfId="533" xr:uid="{00000000-0005-0000-0000-0000620A0000}"/>
    <cellStyle name="Comma 32 6 2 2" xfId="2218" xr:uid="{00000000-0005-0000-0000-0000630A0000}"/>
    <cellStyle name="Comma 32 6 2 2 2" xfId="4571" xr:uid="{00000000-0005-0000-0000-0000640A0000}"/>
    <cellStyle name="Comma 32 6 2 3" xfId="4572" xr:uid="{00000000-0005-0000-0000-0000650A0000}"/>
    <cellStyle name="Comma 32 6 2 4" xfId="3378" xr:uid="{00000000-0005-0000-0000-0000660A0000}"/>
    <cellStyle name="Comma 32 6 3" xfId="1644" xr:uid="{00000000-0005-0000-0000-0000670A0000}"/>
    <cellStyle name="Comma 32 6 3 2" xfId="4573" xr:uid="{00000000-0005-0000-0000-0000680A0000}"/>
    <cellStyle name="Comma 32 6 4" xfId="4574" xr:uid="{00000000-0005-0000-0000-0000690A0000}"/>
    <cellStyle name="Comma 32 6 5" xfId="2803" xr:uid="{00000000-0005-0000-0000-00006A0A0000}"/>
    <cellStyle name="Comma 32 7" xfId="534" xr:uid="{00000000-0005-0000-0000-00006B0A0000}"/>
    <cellStyle name="Comma 32 7 2" xfId="1793" xr:uid="{00000000-0005-0000-0000-00006C0A0000}"/>
    <cellStyle name="Comma 32 7 2 2" xfId="4575" xr:uid="{00000000-0005-0000-0000-00006D0A0000}"/>
    <cellStyle name="Comma 32 7 3" xfId="4576" xr:uid="{00000000-0005-0000-0000-00006E0A0000}"/>
    <cellStyle name="Comma 32 7 4" xfId="2953" xr:uid="{00000000-0005-0000-0000-00006F0A0000}"/>
    <cellStyle name="Comma 32 8" xfId="1218" xr:uid="{00000000-0005-0000-0000-0000700A0000}"/>
    <cellStyle name="Comma 32 8 2" xfId="4577" xr:uid="{00000000-0005-0000-0000-0000710A0000}"/>
    <cellStyle name="Comma 32 9" xfId="4578" xr:uid="{00000000-0005-0000-0000-0000720A0000}"/>
    <cellStyle name="Comma 33" xfId="535" xr:uid="{00000000-0005-0000-0000-0000730A0000}"/>
    <cellStyle name="Comma 33 10" xfId="2378" xr:uid="{00000000-0005-0000-0000-0000740A0000}"/>
    <cellStyle name="Comma 33 2" xfId="536" xr:uid="{00000000-0005-0000-0000-0000750A0000}"/>
    <cellStyle name="Comma 33 2 2" xfId="537" xr:uid="{00000000-0005-0000-0000-0000760A0000}"/>
    <cellStyle name="Comma 33 2 2 2" xfId="538" xr:uid="{00000000-0005-0000-0000-0000770A0000}"/>
    <cellStyle name="Comma 33 2 2 2 2" xfId="1984" xr:uid="{00000000-0005-0000-0000-0000780A0000}"/>
    <cellStyle name="Comma 33 2 2 2 2 2" xfId="4579" xr:uid="{00000000-0005-0000-0000-0000790A0000}"/>
    <cellStyle name="Comma 33 2 2 2 3" xfId="4580" xr:uid="{00000000-0005-0000-0000-00007A0A0000}"/>
    <cellStyle name="Comma 33 2 2 2 4" xfId="3144" xr:uid="{00000000-0005-0000-0000-00007B0A0000}"/>
    <cellStyle name="Comma 33 2 2 3" xfId="1410" xr:uid="{00000000-0005-0000-0000-00007C0A0000}"/>
    <cellStyle name="Comma 33 2 2 3 2" xfId="4581" xr:uid="{00000000-0005-0000-0000-00007D0A0000}"/>
    <cellStyle name="Comma 33 2 2 4" xfId="4582" xr:uid="{00000000-0005-0000-0000-00007E0A0000}"/>
    <cellStyle name="Comma 33 2 2 5" xfId="2569" xr:uid="{00000000-0005-0000-0000-00007F0A0000}"/>
    <cellStyle name="Comma 33 2 3" xfId="539" xr:uid="{00000000-0005-0000-0000-0000800A0000}"/>
    <cellStyle name="Comma 33 2 3 2" xfId="540" xr:uid="{00000000-0005-0000-0000-0000810A0000}"/>
    <cellStyle name="Comma 33 2 3 2 2" xfId="2120" xr:uid="{00000000-0005-0000-0000-0000820A0000}"/>
    <cellStyle name="Comma 33 2 3 2 2 2" xfId="4583" xr:uid="{00000000-0005-0000-0000-0000830A0000}"/>
    <cellStyle name="Comma 33 2 3 2 3" xfId="4584" xr:uid="{00000000-0005-0000-0000-0000840A0000}"/>
    <cellStyle name="Comma 33 2 3 2 4" xfId="3280" xr:uid="{00000000-0005-0000-0000-0000850A0000}"/>
    <cellStyle name="Comma 33 2 3 3" xfId="1546" xr:uid="{00000000-0005-0000-0000-0000860A0000}"/>
    <cellStyle name="Comma 33 2 3 3 2" xfId="4585" xr:uid="{00000000-0005-0000-0000-0000870A0000}"/>
    <cellStyle name="Comma 33 2 3 4" xfId="4586" xr:uid="{00000000-0005-0000-0000-0000880A0000}"/>
    <cellStyle name="Comma 33 2 3 5" xfId="2705" xr:uid="{00000000-0005-0000-0000-0000890A0000}"/>
    <cellStyle name="Comma 33 2 4" xfId="541" xr:uid="{00000000-0005-0000-0000-00008A0A0000}"/>
    <cellStyle name="Comma 33 2 4 2" xfId="542" xr:uid="{00000000-0005-0000-0000-00008B0A0000}"/>
    <cellStyle name="Comma 33 2 4 2 2" xfId="2266" xr:uid="{00000000-0005-0000-0000-00008C0A0000}"/>
    <cellStyle name="Comma 33 2 4 2 2 2" xfId="4587" xr:uid="{00000000-0005-0000-0000-00008D0A0000}"/>
    <cellStyle name="Comma 33 2 4 2 3" xfId="4588" xr:uid="{00000000-0005-0000-0000-00008E0A0000}"/>
    <cellStyle name="Comma 33 2 4 2 4" xfId="3426" xr:uid="{00000000-0005-0000-0000-00008F0A0000}"/>
    <cellStyle name="Comma 33 2 4 3" xfId="1692" xr:uid="{00000000-0005-0000-0000-0000900A0000}"/>
    <cellStyle name="Comma 33 2 4 3 2" xfId="4589" xr:uid="{00000000-0005-0000-0000-0000910A0000}"/>
    <cellStyle name="Comma 33 2 4 4" xfId="4590" xr:uid="{00000000-0005-0000-0000-0000920A0000}"/>
    <cellStyle name="Comma 33 2 4 5" xfId="2851" xr:uid="{00000000-0005-0000-0000-0000930A0000}"/>
    <cellStyle name="Comma 33 2 5" xfId="543" xr:uid="{00000000-0005-0000-0000-0000940A0000}"/>
    <cellStyle name="Comma 33 2 5 2" xfId="1841" xr:uid="{00000000-0005-0000-0000-0000950A0000}"/>
    <cellStyle name="Comma 33 2 5 2 2" xfId="4591" xr:uid="{00000000-0005-0000-0000-0000960A0000}"/>
    <cellStyle name="Comma 33 2 5 3" xfId="4592" xr:uid="{00000000-0005-0000-0000-0000970A0000}"/>
    <cellStyle name="Comma 33 2 5 4" xfId="3001" xr:uid="{00000000-0005-0000-0000-0000980A0000}"/>
    <cellStyle name="Comma 33 2 6" xfId="1266" xr:uid="{00000000-0005-0000-0000-0000990A0000}"/>
    <cellStyle name="Comma 33 2 6 2" xfId="4593" xr:uid="{00000000-0005-0000-0000-00009A0A0000}"/>
    <cellStyle name="Comma 33 2 7" xfId="4594" xr:uid="{00000000-0005-0000-0000-00009B0A0000}"/>
    <cellStyle name="Comma 33 2 8" xfId="2425" xr:uid="{00000000-0005-0000-0000-00009C0A0000}"/>
    <cellStyle name="Comma 33 3" xfId="544" xr:uid="{00000000-0005-0000-0000-00009D0A0000}"/>
    <cellStyle name="Comma 33 3 2" xfId="545" xr:uid="{00000000-0005-0000-0000-00009E0A0000}"/>
    <cellStyle name="Comma 33 3 2 2" xfId="546" xr:uid="{00000000-0005-0000-0000-00009F0A0000}"/>
    <cellStyle name="Comma 33 3 2 2 2" xfId="2025" xr:uid="{00000000-0005-0000-0000-0000A00A0000}"/>
    <cellStyle name="Comma 33 3 2 2 2 2" xfId="4595" xr:uid="{00000000-0005-0000-0000-0000A10A0000}"/>
    <cellStyle name="Comma 33 3 2 2 3" xfId="4596" xr:uid="{00000000-0005-0000-0000-0000A20A0000}"/>
    <cellStyle name="Comma 33 3 2 2 4" xfId="3185" xr:uid="{00000000-0005-0000-0000-0000A30A0000}"/>
    <cellStyle name="Comma 33 3 2 3" xfId="1451" xr:uid="{00000000-0005-0000-0000-0000A40A0000}"/>
    <cellStyle name="Comma 33 3 2 3 2" xfId="4597" xr:uid="{00000000-0005-0000-0000-0000A50A0000}"/>
    <cellStyle name="Comma 33 3 2 4" xfId="4598" xr:uid="{00000000-0005-0000-0000-0000A60A0000}"/>
    <cellStyle name="Comma 33 3 2 5" xfId="2610" xr:uid="{00000000-0005-0000-0000-0000A70A0000}"/>
    <cellStyle name="Comma 33 3 3" xfId="547" xr:uid="{00000000-0005-0000-0000-0000A80A0000}"/>
    <cellStyle name="Comma 33 3 3 2" xfId="548" xr:uid="{00000000-0005-0000-0000-0000A90A0000}"/>
    <cellStyle name="Comma 33 3 3 2 2" xfId="2161" xr:uid="{00000000-0005-0000-0000-0000AA0A0000}"/>
    <cellStyle name="Comma 33 3 3 2 2 2" xfId="4599" xr:uid="{00000000-0005-0000-0000-0000AB0A0000}"/>
    <cellStyle name="Comma 33 3 3 2 3" xfId="4600" xr:uid="{00000000-0005-0000-0000-0000AC0A0000}"/>
    <cellStyle name="Comma 33 3 3 2 4" xfId="3321" xr:uid="{00000000-0005-0000-0000-0000AD0A0000}"/>
    <cellStyle name="Comma 33 3 3 3" xfId="1587" xr:uid="{00000000-0005-0000-0000-0000AE0A0000}"/>
    <cellStyle name="Comma 33 3 3 3 2" xfId="4601" xr:uid="{00000000-0005-0000-0000-0000AF0A0000}"/>
    <cellStyle name="Comma 33 3 3 4" xfId="4602" xr:uid="{00000000-0005-0000-0000-0000B00A0000}"/>
    <cellStyle name="Comma 33 3 3 5" xfId="2746" xr:uid="{00000000-0005-0000-0000-0000B10A0000}"/>
    <cellStyle name="Comma 33 3 4" xfId="549" xr:uid="{00000000-0005-0000-0000-0000B20A0000}"/>
    <cellStyle name="Comma 33 3 4 2" xfId="550" xr:uid="{00000000-0005-0000-0000-0000B30A0000}"/>
    <cellStyle name="Comma 33 3 4 2 2" xfId="2307" xr:uid="{00000000-0005-0000-0000-0000B40A0000}"/>
    <cellStyle name="Comma 33 3 4 2 2 2" xfId="4603" xr:uid="{00000000-0005-0000-0000-0000B50A0000}"/>
    <cellStyle name="Comma 33 3 4 2 3" xfId="4604" xr:uid="{00000000-0005-0000-0000-0000B60A0000}"/>
    <cellStyle name="Comma 33 3 4 2 4" xfId="3467" xr:uid="{00000000-0005-0000-0000-0000B70A0000}"/>
    <cellStyle name="Comma 33 3 4 3" xfId="1733" xr:uid="{00000000-0005-0000-0000-0000B80A0000}"/>
    <cellStyle name="Comma 33 3 4 3 2" xfId="4605" xr:uid="{00000000-0005-0000-0000-0000B90A0000}"/>
    <cellStyle name="Comma 33 3 4 4" xfId="4606" xr:uid="{00000000-0005-0000-0000-0000BA0A0000}"/>
    <cellStyle name="Comma 33 3 4 5" xfId="2892" xr:uid="{00000000-0005-0000-0000-0000BB0A0000}"/>
    <cellStyle name="Comma 33 3 5" xfId="551" xr:uid="{00000000-0005-0000-0000-0000BC0A0000}"/>
    <cellStyle name="Comma 33 3 5 2" xfId="1882" xr:uid="{00000000-0005-0000-0000-0000BD0A0000}"/>
    <cellStyle name="Comma 33 3 5 2 2" xfId="4607" xr:uid="{00000000-0005-0000-0000-0000BE0A0000}"/>
    <cellStyle name="Comma 33 3 5 3" xfId="4608" xr:uid="{00000000-0005-0000-0000-0000BF0A0000}"/>
    <cellStyle name="Comma 33 3 5 4" xfId="3042" xr:uid="{00000000-0005-0000-0000-0000C00A0000}"/>
    <cellStyle name="Comma 33 3 6" xfId="1307" xr:uid="{00000000-0005-0000-0000-0000C10A0000}"/>
    <cellStyle name="Comma 33 3 6 2" xfId="4609" xr:uid="{00000000-0005-0000-0000-0000C20A0000}"/>
    <cellStyle name="Comma 33 3 7" xfId="4610" xr:uid="{00000000-0005-0000-0000-0000C30A0000}"/>
    <cellStyle name="Comma 33 3 8" xfId="2466" xr:uid="{00000000-0005-0000-0000-0000C40A0000}"/>
    <cellStyle name="Comma 33 4" xfId="552" xr:uid="{00000000-0005-0000-0000-0000C50A0000}"/>
    <cellStyle name="Comma 33 4 2" xfId="553" xr:uid="{00000000-0005-0000-0000-0000C60A0000}"/>
    <cellStyle name="Comma 33 4 2 2" xfId="1938" xr:uid="{00000000-0005-0000-0000-0000C70A0000}"/>
    <cellStyle name="Comma 33 4 2 2 2" xfId="4611" xr:uid="{00000000-0005-0000-0000-0000C80A0000}"/>
    <cellStyle name="Comma 33 4 2 3" xfId="4612" xr:uid="{00000000-0005-0000-0000-0000C90A0000}"/>
    <cellStyle name="Comma 33 4 2 4" xfId="3098" xr:uid="{00000000-0005-0000-0000-0000CA0A0000}"/>
    <cellStyle name="Comma 33 4 3" xfId="1363" xr:uid="{00000000-0005-0000-0000-0000CB0A0000}"/>
    <cellStyle name="Comma 33 4 3 2" xfId="4613" xr:uid="{00000000-0005-0000-0000-0000CC0A0000}"/>
    <cellStyle name="Comma 33 4 4" xfId="4614" xr:uid="{00000000-0005-0000-0000-0000CD0A0000}"/>
    <cellStyle name="Comma 33 4 5" xfId="2522" xr:uid="{00000000-0005-0000-0000-0000CE0A0000}"/>
    <cellStyle name="Comma 33 5" xfId="554" xr:uid="{00000000-0005-0000-0000-0000CF0A0000}"/>
    <cellStyle name="Comma 33 5 2" xfId="555" xr:uid="{00000000-0005-0000-0000-0000D00A0000}"/>
    <cellStyle name="Comma 33 5 2 2" xfId="2073" xr:uid="{00000000-0005-0000-0000-0000D10A0000}"/>
    <cellStyle name="Comma 33 5 2 2 2" xfId="4615" xr:uid="{00000000-0005-0000-0000-0000D20A0000}"/>
    <cellStyle name="Comma 33 5 2 3" xfId="4616" xr:uid="{00000000-0005-0000-0000-0000D30A0000}"/>
    <cellStyle name="Comma 33 5 2 4" xfId="3233" xr:uid="{00000000-0005-0000-0000-0000D40A0000}"/>
    <cellStyle name="Comma 33 5 3" xfId="1499" xr:uid="{00000000-0005-0000-0000-0000D50A0000}"/>
    <cellStyle name="Comma 33 5 3 2" xfId="4617" xr:uid="{00000000-0005-0000-0000-0000D60A0000}"/>
    <cellStyle name="Comma 33 5 4" xfId="4618" xr:uid="{00000000-0005-0000-0000-0000D70A0000}"/>
    <cellStyle name="Comma 33 5 5" xfId="2658" xr:uid="{00000000-0005-0000-0000-0000D80A0000}"/>
    <cellStyle name="Comma 33 6" xfId="556" xr:uid="{00000000-0005-0000-0000-0000D90A0000}"/>
    <cellStyle name="Comma 33 6 2" xfId="557" xr:uid="{00000000-0005-0000-0000-0000DA0A0000}"/>
    <cellStyle name="Comma 33 6 2 2" xfId="2219" xr:uid="{00000000-0005-0000-0000-0000DB0A0000}"/>
    <cellStyle name="Comma 33 6 2 2 2" xfId="4619" xr:uid="{00000000-0005-0000-0000-0000DC0A0000}"/>
    <cellStyle name="Comma 33 6 2 3" xfId="4620" xr:uid="{00000000-0005-0000-0000-0000DD0A0000}"/>
    <cellStyle name="Comma 33 6 2 4" xfId="3379" xr:uid="{00000000-0005-0000-0000-0000DE0A0000}"/>
    <cellStyle name="Comma 33 6 3" xfId="1645" xr:uid="{00000000-0005-0000-0000-0000DF0A0000}"/>
    <cellStyle name="Comma 33 6 3 2" xfId="4621" xr:uid="{00000000-0005-0000-0000-0000E00A0000}"/>
    <cellStyle name="Comma 33 6 4" xfId="4622" xr:uid="{00000000-0005-0000-0000-0000E10A0000}"/>
    <cellStyle name="Comma 33 6 5" xfId="2804" xr:uid="{00000000-0005-0000-0000-0000E20A0000}"/>
    <cellStyle name="Comma 33 7" xfId="558" xr:uid="{00000000-0005-0000-0000-0000E30A0000}"/>
    <cellStyle name="Comma 33 7 2" xfId="1794" xr:uid="{00000000-0005-0000-0000-0000E40A0000}"/>
    <cellStyle name="Comma 33 7 2 2" xfId="4623" xr:uid="{00000000-0005-0000-0000-0000E50A0000}"/>
    <cellStyle name="Comma 33 7 3" xfId="4624" xr:uid="{00000000-0005-0000-0000-0000E60A0000}"/>
    <cellStyle name="Comma 33 7 4" xfId="2954" xr:uid="{00000000-0005-0000-0000-0000E70A0000}"/>
    <cellStyle name="Comma 33 8" xfId="1219" xr:uid="{00000000-0005-0000-0000-0000E80A0000}"/>
    <cellStyle name="Comma 33 8 2" xfId="4625" xr:uid="{00000000-0005-0000-0000-0000E90A0000}"/>
    <cellStyle name="Comma 33 9" xfId="4626" xr:uid="{00000000-0005-0000-0000-0000EA0A0000}"/>
    <cellStyle name="Comma 34" xfId="559" xr:uid="{00000000-0005-0000-0000-0000EB0A0000}"/>
    <cellStyle name="Comma 34 10" xfId="2379" xr:uid="{00000000-0005-0000-0000-0000EC0A0000}"/>
    <cellStyle name="Comma 34 2" xfId="560" xr:uid="{00000000-0005-0000-0000-0000ED0A0000}"/>
    <cellStyle name="Comma 34 2 2" xfId="561" xr:uid="{00000000-0005-0000-0000-0000EE0A0000}"/>
    <cellStyle name="Comma 34 2 2 2" xfId="562" xr:uid="{00000000-0005-0000-0000-0000EF0A0000}"/>
    <cellStyle name="Comma 34 2 2 2 2" xfId="1985" xr:uid="{00000000-0005-0000-0000-0000F00A0000}"/>
    <cellStyle name="Comma 34 2 2 2 2 2" xfId="4627" xr:uid="{00000000-0005-0000-0000-0000F10A0000}"/>
    <cellStyle name="Comma 34 2 2 2 3" xfId="4628" xr:uid="{00000000-0005-0000-0000-0000F20A0000}"/>
    <cellStyle name="Comma 34 2 2 2 4" xfId="3145" xr:uid="{00000000-0005-0000-0000-0000F30A0000}"/>
    <cellStyle name="Comma 34 2 2 3" xfId="1411" xr:uid="{00000000-0005-0000-0000-0000F40A0000}"/>
    <cellStyle name="Comma 34 2 2 3 2" xfId="4629" xr:uid="{00000000-0005-0000-0000-0000F50A0000}"/>
    <cellStyle name="Comma 34 2 2 4" xfId="4630" xr:uid="{00000000-0005-0000-0000-0000F60A0000}"/>
    <cellStyle name="Comma 34 2 2 5" xfId="2570" xr:uid="{00000000-0005-0000-0000-0000F70A0000}"/>
    <cellStyle name="Comma 34 2 3" xfId="563" xr:uid="{00000000-0005-0000-0000-0000F80A0000}"/>
    <cellStyle name="Comma 34 2 3 2" xfId="564" xr:uid="{00000000-0005-0000-0000-0000F90A0000}"/>
    <cellStyle name="Comma 34 2 3 2 2" xfId="2121" xr:uid="{00000000-0005-0000-0000-0000FA0A0000}"/>
    <cellStyle name="Comma 34 2 3 2 2 2" xfId="4631" xr:uid="{00000000-0005-0000-0000-0000FB0A0000}"/>
    <cellStyle name="Comma 34 2 3 2 3" xfId="4632" xr:uid="{00000000-0005-0000-0000-0000FC0A0000}"/>
    <cellStyle name="Comma 34 2 3 2 4" xfId="3281" xr:uid="{00000000-0005-0000-0000-0000FD0A0000}"/>
    <cellStyle name="Comma 34 2 3 3" xfId="1547" xr:uid="{00000000-0005-0000-0000-0000FE0A0000}"/>
    <cellStyle name="Comma 34 2 3 3 2" xfId="4633" xr:uid="{00000000-0005-0000-0000-0000FF0A0000}"/>
    <cellStyle name="Comma 34 2 3 4" xfId="4634" xr:uid="{00000000-0005-0000-0000-0000000B0000}"/>
    <cellStyle name="Comma 34 2 3 5" xfId="2706" xr:uid="{00000000-0005-0000-0000-0000010B0000}"/>
    <cellStyle name="Comma 34 2 4" xfId="565" xr:uid="{00000000-0005-0000-0000-0000020B0000}"/>
    <cellStyle name="Comma 34 2 4 2" xfId="566" xr:uid="{00000000-0005-0000-0000-0000030B0000}"/>
    <cellStyle name="Comma 34 2 4 2 2" xfId="2267" xr:uid="{00000000-0005-0000-0000-0000040B0000}"/>
    <cellStyle name="Comma 34 2 4 2 2 2" xfId="4635" xr:uid="{00000000-0005-0000-0000-0000050B0000}"/>
    <cellStyle name="Comma 34 2 4 2 3" xfId="4636" xr:uid="{00000000-0005-0000-0000-0000060B0000}"/>
    <cellStyle name="Comma 34 2 4 2 4" xfId="3427" xr:uid="{00000000-0005-0000-0000-0000070B0000}"/>
    <cellStyle name="Comma 34 2 4 3" xfId="1693" xr:uid="{00000000-0005-0000-0000-0000080B0000}"/>
    <cellStyle name="Comma 34 2 4 3 2" xfId="4637" xr:uid="{00000000-0005-0000-0000-0000090B0000}"/>
    <cellStyle name="Comma 34 2 4 4" xfId="4638" xr:uid="{00000000-0005-0000-0000-00000A0B0000}"/>
    <cellStyle name="Comma 34 2 4 5" xfId="2852" xr:uid="{00000000-0005-0000-0000-00000B0B0000}"/>
    <cellStyle name="Comma 34 2 5" xfId="567" xr:uid="{00000000-0005-0000-0000-00000C0B0000}"/>
    <cellStyle name="Comma 34 2 5 2" xfId="1842" xr:uid="{00000000-0005-0000-0000-00000D0B0000}"/>
    <cellStyle name="Comma 34 2 5 2 2" xfId="4639" xr:uid="{00000000-0005-0000-0000-00000E0B0000}"/>
    <cellStyle name="Comma 34 2 5 3" xfId="4640" xr:uid="{00000000-0005-0000-0000-00000F0B0000}"/>
    <cellStyle name="Comma 34 2 5 4" xfId="3002" xr:uid="{00000000-0005-0000-0000-0000100B0000}"/>
    <cellStyle name="Comma 34 2 6" xfId="1267" xr:uid="{00000000-0005-0000-0000-0000110B0000}"/>
    <cellStyle name="Comma 34 2 6 2" xfId="4641" xr:uid="{00000000-0005-0000-0000-0000120B0000}"/>
    <cellStyle name="Comma 34 2 7" xfId="4642" xr:uid="{00000000-0005-0000-0000-0000130B0000}"/>
    <cellStyle name="Comma 34 2 8" xfId="2426" xr:uid="{00000000-0005-0000-0000-0000140B0000}"/>
    <cellStyle name="Comma 34 3" xfId="568" xr:uid="{00000000-0005-0000-0000-0000150B0000}"/>
    <cellStyle name="Comma 34 3 2" xfId="569" xr:uid="{00000000-0005-0000-0000-0000160B0000}"/>
    <cellStyle name="Comma 34 3 2 2" xfId="570" xr:uid="{00000000-0005-0000-0000-0000170B0000}"/>
    <cellStyle name="Comma 34 3 2 2 2" xfId="2026" xr:uid="{00000000-0005-0000-0000-0000180B0000}"/>
    <cellStyle name="Comma 34 3 2 2 2 2" xfId="4643" xr:uid="{00000000-0005-0000-0000-0000190B0000}"/>
    <cellStyle name="Comma 34 3 2 2 3" xfId="4644" xr:uid="{00000000-0005-0000-0000-00001A0B0000}"/>
    <cellStyle name="Comma 34 3 2 2 4" xfId="3186" xr:uid="{00000000-0005-0000-0000-00001B0B0000}"/>
    <cellStyle name="Comma 34 3 2 3" xfId="1452" xr:uid="{00000000-0005-0000-0000-00001C0B0000}"/>
    <cellStyle name="Comma 34 3 2 3 2" xfId="4645" xr:uid="{00000000-0005-0000-0000-00001D0B0000}"/>
    <cellStyle name="Comma 34 3 2 4" xfId="4646" xr:uid="{00000000-0005-0000-0000-00001E0B0000}"/>
    <cellStyle name="Comma 34 3 2 5" xfId="2611" xr:uid="{00000000-0005-0000-0000-00001F0B0000}"/>
    <cellStyle name="Comma 34 3 3" xfId="571" xr:uid="{00000000-0005-0000-0000-0000200B0000}"/>
    <cellStyle name="Comma 34 3 3 2" xfId="572" xr:uid="{00000000-0005-0000-0000-0000210B0000}"/>
    <cellStyle name="Comma 34 3 3 2 2" xfId="2162" xr:uid="{00000000-0005-0000-0000-0000220B0000}"/>
    <cellStyle name="Comma 34 3 3 2 2 2" xfId="4647" xr:uid="{00000000-0005-0000-0000-0000230B0000}"/>
    <cellStyle name="Comma 34 3 3 2 3" xfId="4648" xr:uid="{00000000-0005-0000-0000-0000240B0000}"/>
    <cellStyle name="Comma 34 3 3 2 4" xfId="3322" xr:uid="{00000000-0005-0000-0000-0000250B0000}"/>
    <cellStyle name="Comma 34 3 3 3" xfId="1588" xr:uid="{00000000-0005-0000-0000-0000260B0000}"/>
    <cellStyle name="Comma 34 3 3 3 2" xfId="4649" xr:uid="{00000000-0005-0000-0000-0000270B0000}"/>
    <cellStyle name="Comma 34 3 3 4" xfId="4650" xr:uid="{00000000-0005-0000-0000-0000280B0000}"/>
    <cellStyle name="Comma 34 3 3 5" xfId="2747" xr:uid="{00000000-0005-0000-0000-0000290B0000}"/>
    <cellStyle name="Comma 34 3 4" xfId="573" xr:uid="{00000000-0005-0000-0000-00002A0B0000}"/>
    <cellStyle name="Comma 34 3 4 2" xfId="574" xr:uid="{00000000-0005-0000-0000-00002B0B0000}"/>
    <cellStyle name="Comma 34 3 4 2 2" xfId="2308" xr:uid="{00000000-0005-0000-0000-00002C0B0000}"/>
    <cellStyle name="Comma 34 3 4 2 2 2" xfId="4651" xr:uid="{00000000-0005-0000-0000-00002D0B0000}"/>
    <cellStyle name="Comma 34 3 4 2 3" xfId="4652" xr:uid="{00000000-0005-0000-0000-00002E0B0000}"/>
    <cellStyle name="Comma 34 3 4 2 4" xfId="3468" xr:uid="{00000000-0005-0000-0000-00002F0B0000}"/>
    <cellStyle name="Comma 34 3 4 3" xfId="1734" xr:uid="{00000000-0005-0000-0000-0000300B0000}"/>
    <cellStyle name="Comma 34 3 4 3 2" xfId="4653" xr:uid="{00000000-0005-0000-0000-0000310B0000}"/>
    <cellStyle name="Comma 34 3 4 4" xfId="4654" xr:uid="{00000000-0005-0000-0000-0000320B0000}"/>
    <cellStyle name="Comma 34 3 4 5" xfId="2893" xr:uid="{00000000-0005-0000-0000-0000330B0000}"/>
    <cellStyle name="Comma 34 3 5" xfId="575" xr:uid="{00000000-0005-0000-0000-0000340B0000}"/>
    <cellStyle name="Comma 34 3 5 2" xfId="1883" xr:uid="{00000000-0005-0000-0000-0000350B0000}"/>
    <cellStyle name="Comma 34 3 5 2 2" xfId="4655" xr:uid="{00000000-0005-0000-0000-0000360B0000}"/>
    <cellStyle name="Comma 34 3 5 3" xfId="4656" xr:uid="{00000000-0005-0000-0000-0000370B0000}"/>
    <cellStyle name="Comma 34 3 5 4" xfId="3043" xr:uid="{00000000-0005-0000-0000-0000380B0000}"/>
    <cellStyle name="Comma 34 3 6" xfId="1308" xr:uid="{00000000-0005-0000-0000-0000390B0000}"/>
    <cellStyle name="Comma 34 3 6 2" xfId="4657" xr:uid="{00000000-0005-0000-0000-00003A0B0000}"/>
    <cellStyle name="Comma 34 3 7" xfId="4658" xr:uid="{00000000-0005-0000-0000-00003B0B0000}"/>
    <cellStyle name="Comma 34 3 8" xfId="2467" xr:uid="{00000000-0005-0000-0000-00003C0B0000}"/>
    <cellStyle name="Comma 34 4" xfId="576" xr:uid="{00000000-0005-0000-0000-00003D0B0000}"/>
    <cellStyle name="Comma 34 4 2" xfId="577" xr:uid="{00000000-0005-0000-0000-00003E0B0000}"/>
    <cellStyle name="Comma 34 4 2 2" xfId="1939" xr:uid="{00000000-0005-0000-0000-00003F0B0000}"/>
    <cellStyle name="Comma 34 4 2 2 2" xfId="4659" xr:uid="{00000000-0005-0000-0000-0000400B0000}"/>
    <cellStyle name="Comma 34 4 2 3" xfId="4660" xr:uid="{00000000-0005-0000-0000-0000410B0000}"/>
    <cellStyle name="Comma 34 4 2 4" xfId="3099" xr:uid="{00000000-0005-0000-0000-0000420B0000}"/>
    <cellStyle name="Comma 34 4 3" xfId="1364" xr:uid="{00000000-0005-0000-0000-0000430B0000}"/>
    <cellStyle name="Comma 34 4 3 2" xfId="4661" xr:uid="{00000000-0005-0000-0000-0000440B0000}"/>
    <cellStyle name="Comma 34 4 4" xfId="4662" xr:uid="{00000000-0005-0000-0000-0000450B0000}"/>
    <cellStyle name="Comma 34 4 5" xfId="2523" xr:uid="{00000000-0005-0000-0000-0000460B0000}"/>
    <cellStyle name="Comma 34 5" xfId="578" xr:uid="{00000000-0005-0000-0000-0000470B0000}"/>
    <cellStyle name="Comma 34 5 2" xfId="579" xr:uid="{00000000-0005-0000-0000-0000480B0000}"/>
    <cellStyle name="Comma 34 5 2 2" xfId="2074" xr:uid="{00000000-0005-0000-0000-0000490B0000}"/>
    <cellStyle name="Comma 34 5 2 2 2" xfId="4663" xr:uid="{00000000-0005-0000-0000-00004A0B0000}"/>
    <cellStyle name="Comma 34 5 2 3" xfId="4664" xr:uid="{00000000-0005-0000-0000-00004B0B0000}"/>
    <cellStyle name="Comma 34 5 2 4" xfId="3234" xr:uid="{00000000-0005-0000-0000-00004C0B0000}"/>
    <cellStyle name="Comma 34 5 3" xfId="1500" xr:uid="{00000000-0005-0000-0000-00004D0B0000}"/>
    <cellStyle name="Comma 34 5 3 2" xfId="4665" xr:uid="{00000000-0005-0000-0000-00004E0B0000}"/>
    <cellStyle name="Comma 34 5 4" xfId="4666" xr:uid="{00000000-0005-0000-0000-00004F0B0000}"/>
    <cellStyle name="Comma 34 5 5" xfId="2659" xr:uid="{00000000-0005-0000-0000-0000500B0000}"/>
    <cellStyle name="Comma 34 6" xfId="580" xr:uid="{00000000-0005-0000-0000-0000510B0000}"/>
    <cellStyle name="Comma 34 6 2" xfId="581" xr:uid="{00000000-0005-0000-0000-0000520B0000}"/>
    <cellStyle name="Comma 34 6 2 2" xfId="2220" xr:uid="{00000000-0005-0000-0000-0000530B0000}"/>
    <cellStyle name="Comma 34 6 2 2 2" xfId="4667" xr:uid="{00000000-0005-0000-0000-0000540B0000}"/>
    <cellStyle name="Comma 34 6 2 3" xfId="4668" xr:uid="{00000000-0005-0000-0000-0000550B0000}"/>
    <cellStyle name="Comma 34 6 2 4" xfId="3380" xr:uid="{00000000-0005-0000-0000-0000560B0000}"/>
    <cellStyle name="Comma 34 6 3" xfId="1646" xr:uid="{00000000-0005-0000-0000-0000570B0000}"/>
    <cellStyle name="Comma 34 6 3 2" xfId="4669" xr:uid="{00000000-0005-0000-0000-0000580B0000}"/>
    <cellStyle name="Comma 34 6 4" xfId="4670" xr:uid="{00000000-0005-0000-0000-0000590B0000}"/>
    <cellStyle name="Comma 34 6 5" xfId="2805" xr:uid="{00000000-0005-0000-0000-00005A0B0000}"/>
    <cellStyle name="Comma 34 7" xfId="582" xr:uid="{00000000-0005-0000-0000-00005B0B0000}"/>
    <cellStyle name="Comma 34 7 2" xfId="1795" xr:uid="{00000000-0005-0000-0000-00005C0B0000}"/>
    <cellStyle name="Comma 34 7 2 2" xfId="4671" xr:uid="{00000000-0005-0000-0000-00005D0B0000}"/>
    <cellStyle name="Comma 34 7 3" xfId="4672" xr:uid="{00000000-0005-0000-0000-00005E0B0000}"/>
    <cellStyle name="Comma 34 7 4" xfId="2955" xr:uid="{00000000-0005-0000-0000-00005F0B0000}"/>
    <cellStyle name="Comma 34 8" xfId="1220" xr:uid="{00000000-0005-0000-0000-0000600B0000}"/>
    <cellStyle name="Comma 34 8 2" xfId="4673" xr:uid="{00000000-0005-0000-0000-0000610B0000}"/>
    <cellStyle name="Comma 34 9" xfId="4674" xr:uid="{00000000-0005-0000-0000-0000620B0000}"/>
    <cellStyle name="Comma 35" xfId="583" xr:uid="{00000000-0005-0000-0000-0000630B0000}"/>
    <cellStyle name="Comma 35 10" xfId="2380" xr:uid="{00000000-0005-0000-0000-0000640B0000}"/>
    <cellStyle name="Comma 35 2" xfId="584" xr:uid="{00000000-0005-0000-0000-0000650B0000}"/>
    <cellStyle name="Comma 35 2 2" xfId="585" xr:uid="{00000000-0005-0000-0000-0000660B0000}"/>
    <cellStyle name="Comma 35 2 2 2" xfId="586" xr:uid="{00000000-0005-0000-0000-0000670B0000}"/>
    <cellStyle name="Comma 35 2 2 2 2" xfId="1986" xr:uid="{00000000-0005-0000-0000-0000680B0000}"/>
    <cellStyle name="Comma 35 2 2 2 2 2" xfId="4675" xr:uid="{00000000-0005-0000-0000-0000690B0000}"/>
    <cellStyle name="Comma 35 2 2 2 3" xfId="4676" xr:uid="{00000000-0005-0000-0000-00006A0B0000}"/>
    <cellStyle name="Comma 35 2 2 2 4" xfId="3146" xr:uid="{00000000-0005-0000-0000-00006B0B0000}"/>
    <cellStyle name="Comma 35 2 2 3" xfId="1412" xr:uid="{00000000-0005-0000-0000-00006C0B0000}"/>
    <cellStyle name="Comma 35 2 2 3 2" xfId="4677" xr:uid="{00000000-0005-0000-0000-00006D0B0000}"/>
    <cellStyle name="Comma 35 2 2 4" xfId="4678" xr:uid="{00000000-0005-0000-0000-00006E0B0000}"/>
    <cellStyle name="Comma 35 2 2 5" xfId="2571" xr:uid="{00000000-0005-0000-0000-00006F0B0000}"/>
    <cellStyle name="Comma 35 2 3" xfId="587" xr:uid="{00000000-0005-0000-0000-0000700B0000}"/>
    <cellStyle name="Comma 35 2 3 2" xfId="588" xr:uid="{00000000-0005-0000-0000-0000710B0000}"/>
    <cellStyle name="Comma 35 2 3 2 2" xfId="2122" xr:uid="{00000000-0005-0000-0000-0000720B0000}"/>
    <cellStyle name="Comma 35 2 3 2 2 2" xfId="4679" xr:uid="{00000000-0005-0000-0000-0000730B0000}"/>
    <cellStyle name="Comma 35 2 3 2 3" xfId="4680" xr:uid="{00000000-0005-0000-0000-0000740B0000}"/>
    <cellStyle name="Comma 35 2 3 2 4" xfId="3282" xr:uid="{00000000-0005-0000-0000-0000750B0000}"/>
    <cellStyle name="Comma 35 2 3 3" xfId="1548" xr:uid="{00000000-0005-0000-0000-0000760B0000}"/>
    <cellStyle name="Comma 35 2 3 3 2" xfId="4681" xr:uid="{00000000-0005-0000-0000-0000770B0000}"/>
    <cellStyle name="Comma 35 2 3 4" xfId="4682" xr:uid="{00000000-0005-0000-0000-0000780B0000}"/>
    <cellStyle name="Comma 35 2 3 5" xfId="2707" xr:uid="{00000000-0005-0000-0000-0000790B0000}"/>
    <cellStyle name="Comma 35 2 4" xfId="589" xr:uid="{00000000-0005-0000-0000-00007A0B0000}"/>
    <cellStyle name="Comma 35 2 4 2" xfId="590" xr:uid="{00000000-0005-0000-0000-00007B0B0000}"/>
    <cellStyle name="Comma 35 2 4 2 2" xfId="2268" xr:uid="{00000000-0005-0000-0000-00007C0B0000}"/>
    <cellStyle name="Comma 35 2 4 2 2 2" xfId="4683" xr:uid="{00000000-0005-0000-0000-00007D0B0000}"/>
    <cellStyle name="Comma 35 2 4 2 3" xfId="4684" xr:uid="{00000000-0005-0000-0000-00007E0B0000}"/>
    <cellStyle name="Comma 35 2 4 2 4" xfId="3428" xr:uid="{00000000-0005-0000-0000-00007F0B0000}"/>
    <cellStyle name="Comma 35 2 4 3" xfId="1694" xr:uid="{00000000-0005-0000-0000-0000800B0000}"/>
    <cellStyle name="Comma 35 2 4 3 2" xfId="4685" xr:uid="{00000000-0005-0000-0000-0000810B0000}"/>
    <cellStyle name="Comma 35 2 4 4" xfId="4686" xr:uid="{00000000-0005-0000-0000-0000820B0000}"/>
    <cellStyle name="Comma 35 2 4 5" xfId="2853" xr:uid="{00000000-0005-0000-0000-0000830B0000}"/>
    <cellStyle name="Comma 35 2 5" xfId="591" xr:uid="{00000000-0005-0000-0000-0000840B0000}"/>
    <cellStyle name="Comma 35 2 5 2" xfId="1843" xr:uid="{00000000-0005-0000-0000-0000850B0000}"/>
    <cellStyle name="Comma 35 2 5 2 2" xfId="4687" xr:uid="{00000000-0005-0000-0000-0000860B0000}"/>
    <cellStyle name="Comma 35 2 5 3" xfId="4688" xr:uid="{00000000-0005-0000-0000-0000870B0000}"/>
    <cellStyle name="Comma 35 2 5 4" xfId="3003" xr:uid="{00000000-0005-0000-0000-0000880B0000}"/>
    <cellStyle name="Comma 35 2 6" xfId="1268" xr:uid="{00000000-0005-0000-0000-0000890B0000}"/>
    <cellStyle name="Comma 35 2 6 2" xfId="4689" xr:uid="{00000000-0005-0000-0000-00008A0B0000}"/>
    <cellStyle name="Comma 35 2 7" xfId="4690" xr:uid="{00000000-0005-0000-0000-00008B0B0000}"/>
    <cellStyle name="Comma 35 2 8" xfId="2427" xr:uid="{00000000-0005-0000-0000-00008C0B0000}"/>
    <cellStyle name="Comma 35 3" xfId="592" xr:uid="{00000000-0005-0000-0000-00008D0B0000}"/>
    <cellStyle name="Comma 35 3 2" xfId="593" xr:uid="{00000000-0005-0000-0000-00008E0B0000}"/>
    <cellStyle name="Comma 35 3 2 2" xfId="594" xr:uid="{00000000-0005-0000-0000-00008F0B0000}"/>
    <cellStyle name="Comma 35 3 2 2 2" xfId="2027" xr:uid="{00000000-0005-0000-0000-0000900B0000}"/>
    <cellStyle name="Comma 35 3 2 2 2 2" xfId="4691" xr:uid="{00000000-0005-0000-0000-0000910B0000}"/>
    <cellStyle name="Comma 35 3 2 2 3" xfId="4692" xr:uid="{00000000-0005-0000-0000-0000920B0000}"/>
    <cellStyle name="Comma 35 3 2 2 4" xfId="3187" xr:uid="{00000000-0005-0000-0000-0000930B0000}"/>
    <cellStyle name="Comma 35 3 2 3" xfId="1453" xr:uid="{00000000-0005-0000-0000-0000940B0000}"/>
    <cellStyle name="Comma 35 3 2 3 2" xfId="4693" xr:uid="{00000000-0005-0000-0000-0000950B0000}"/>
    <cellStyle name="Comma 35 3 2 4" xfId="4694" xr:uid="{00000000-0005-0000-0000-0000960B0000}"/>
    <cellStyle name="Comma 35 3 2 5" xfId="2612" xr:uid="{00000000-0005-0000-0000-0000970B0000}"/>
    <cellStyle name="Comma 35 3 3" xfId="595" xr:uid="{00000000-0005-0000-0000-0000980B0000}"/>
    <cellStyle name="Comma 35 3 3 2" xfId="596" xr:uid="{00000000-0005-0000-0000-0000990B0000}"/>
    <cellStyle name="Comma 35 3 3 2 2" xfId="2163" xr:uid="{00000000-0005-0000-0000-00009A0B0000}"/>
    <cellStyle name="Comma 35 3 3 2 2 2" xfId="4695" xr:uid="{00000000-0005-0000-0000-00009B0B0000}"/>
    <cellStyle name="Comma 35 3 3 2 3" xfId="4696" xr:uid="{00000000-0005-0000-0000-00009C0B0000}"/>
    <cellStyle name="Comma 35 3 3 2 4" xfId="3323" xr:uid="{00000000-0005-0000-0000-00009D0B0000}"/>
    <cellStyle name="Comma 35 3 3 3" xfId="1589" xr:uid="{00000000-0005-0000-0000-00009E0B0000}"/>
    <cellStyle name="Comma 35 3 3 3 2" xfId="4697" xr:uid="{00000000-0005-0000-0000-00009F0B0000}"/>
    <cellStyle name="Comma 35 3 3 4" xfId="4698" xr:uid="{00000000-0005-0000-0000-0000A00B0000}"/>
    <cellStyle name="Comma 35 3 3 5" xfId="2748" xr:uid="{00000000-0005-0000-0000-0000A10B0000}"/>
    <cellStyle name="Comma 35 3 4" xfId="597" xr:uid="{00000000-0005-0000-0000-0000A20B0000}"/>
    <cellStyle name="Comma 35 3 4 2" xfId="598" xr:uid="{00000000-0005-0000-0000-0000A30B0000}"/>
    <cellStyle name="Comma 35 3 4 2 2" xfId="2309" xr:uid="{00000000-0005-0000-0000-0000A40B0000}"/>
    <cellStyle name="Comma 35 3 4 2 2 2" xfId="4699" xr:uid="{00000000-0005-0000-0000-0000A50B0000}"/>
    <cellStyle name="Comma 35 3 4 2 3" xfId="4700" xr:uid="{00000000-0005-0000-0000-0000A60B0000}"/>
    <cellStyle name="Comma 35 3 4 2 4" xfId="3469" xr:uid="{00000000-0005-0000-0000-0000A70B0000}"/>
    <cellStyle name="Comma 35 3 4 3" xfId="1735" xr:uid="{00000000-0005-0000-0000-0000A80B0000}"/>
    <cellStyle name="Comma 35 3 4 3 2" xfId="4701" xr:uid="{00000000-0005-0000-0000-0000A90B0000}"/>
    <cellStyle name="Comma 35 3 4 4" xfId="4702" xr:uid="{00000000-0005-0000-0000-0000AA0B0000}"/>
    <cellStyle name="Comma 35 3 4 5" xfId="2894" xr:uid="{00000000-0005-0000-0000-0000AB0B0000}"/>
    <cellStyle name="Comma 35 3 5" xfId="599" xr:uid="{00000000-0005-0000-0000-0000AC0B0000}"/>
    <cellStyle name="Comma 35 3 5 2" xfId="1884" xr:uid="{00000000-0005-0000-0000-0000AD0B0000}"/>
    <cellStyle name="Comma 35 3 5 2 2" xfId="4703" xr:uid="{00000000-0005-0000-0000-0000AE0B0000}"/>
    <cellStyle name="Comma 35 3 5 3" xfId="4704" xr:uid="{00000000-0005-0000-0000-0000AF0B0000}"/>
    <cellStyle name="Comma 35 3 5 4" xfId="3044" xr:uid="{00000000-0005-0000-0000-0000B00B0000}"/>
    <cellStyle name="Comma 35 3 6" xfId="1309" xr:uid="{00000000-0005-0000-0000-0000B10B0000}"/>
    <cellStyle name="Comma 35 3 6 2" xfId="4705" xr:uid="{00000000-0005-0000-0000-0000B20B0000}"/>
    <cellStyle name="Comma 35 3 7" xfId="4706" xr:uid="{00000000-0005-0000-0000-0000B30B0000}"/>
    <cellStyle name="Comma 35 3 8" xfId="2468" xr:uid="{00000000-0005-0000-0000-0000B40B0000}"/>
    <cellStyle name="Comma 35 4" xfId="600" xr:uid="{00000000-0005-0000-0000-0000B50B0000}"/>
    <cellStyle name="Comma 35 4 2" xfId="601" xr:uid="{00000000-0005-0000-0000-0000B60B0000}"/>
    <cellStyle name="Comma 35 4 2 2" xfId="1940" xr:uid="{00000000-0005-0000-0000-0000B70B0000}"/>
    <cellStyle name="Comma 35 4 2 2 2" xfId="4707" xr:uid="{00000000-0005-0000-0000-0000B80B0000}"/>
    <cellStyle name="Comma 35 4 2 3" xfId="4708" xr:uid="{00000000-0005-0000-0000-0000B90B0000}"/>
    <cellStyle name="Comma 35 4 2 4" xfId="3100" xr:uid="{00000000-0005-0000-0000-0000BA0B0000}"/>
    <cellStyle name="Comma 35 4 3" xfId="1365" xr:uid="{00000000-0005-0000-0000-0000BB0B0000}"/>
    <cellStyle name="Comma 35 4 3 2" xfId="4709" xr:uid="{00000000-0005-0000-0000-0000BC0B0000}"/>
    <cellStyle name="Comma 35 4 4" xfId="4710" xr:uid="{00000000-0005-0000-0000-0000BD0B0000}"/>
    <cellStyle name="Comma 35 4 5" xfId="2524" xr:uid="{00000000-0005-0000-0000-0000BE0B0000}"/>
    <cellStyle name="Comma 35 5" xfId="602" xr:uid="{00000000-0005-0000-0000-0000BF0B0000}"/>
    <cellStyle name="Comma 35 5 2" xfId="603" xr:uid="{00000000-0005-0000-0000-0000C00B0000}"/>
    <cellStyle name="Comma 35 5 2 2" xfId="2075" xr:uid="{00000000-0005-0000-0000-0000C10B0000}"/>
    <cellStyle name="Comma 35 5 2 2 2" xfId="4711" xr:uid="{00000000-0005-0000-0000-0000C20B0000}"/>
    <cellStyle name="Comma 35 5 2 3" xfId="4712" xr:uid="{00000000-0005-0000-0000-0000C30B0000}"/>
    <cellStyle name="Comma 35 5 2 4" xfId="3235" xr:uid="{00000000-0005-0000-0000-0000C40B0000}"/>
    <cellStyle name="Comma 35 5 3" xfId="1501" xr:uid="{00000000-0005-0000-0000-0000C50B0000}"/>
    <cellStyle name="Comma 35 5 3 2" xfId="4713" xr:uid="{00000000-0005-0000-0000-0000C60B0000}"/>
    <cellStyle name="Comma 35 5 4" xfId="4714" xr:uid="{00000000-0005-0000-0000-0000C70B0000}"/>
    <cellStyle name="Comma 35 5 5" xfId="2660" xr:uid="{00000000-0005-0000-0000-0000C80B0000}"/>
    <cellStyle name="Comma 35 6" xfId="604" xr:uid="{00000000-0005-0000-0000-0000C90B0000}"/>
    <cellStyle name="Comma 35 6 2" xfId="605" xr:uid="{00000000-0005-0000-0000-0000CA0B0000}"/>
    <cellStyle name="Comma 35 6 2 2" xfId="2221" xr:uid="{00000000-0005-0000-0000-0000CB0B0000}"/>
    <cellStyle name="Comma 35 6 2 2 2" xfId="4715" xr:uid="{00000000-0005-0000-0000-0000CC0B0000}"/>
    <cellStyle name="Comma 35 6 2 3" xfId="4716" xr:uid="{00000000-0005-0000-0000-0000CD0B0000}"/>
    <cellStyle name="Comma 35 6 2 4" xfId="3381" xr:uid="{00000000-0005-0000-0000-0000CE0B0000}"/>
    <cellStyle name="Comma 35 6 3" xfId="1647" xr:uid="{00000000-0005-0000-0000-0000CF0B0000}"/>
    <cellStyle name="Comma 35 6 3 2" xfId="4717" xr:uid="{00000000-0005-0000-0000-0000D00B0000}"/>
    <cellStyle name="Comma 35 6 4" xfId="4718" xr:uid="{00000000-0005-0000-0000-0000D10B0000}"/>
    <cellStyle name="Comma 35 6 5" xfId="2806" xr:uid="{00000000-0005-0000-0000-0000D20B0000}"/>
    <cellStyle name="Comma 35 7" xfId="606" xr:uid="{00000000-0005-0000-0000-0000D30B0000}"/>
    <cellStyle name="Comma 35 7 2" xfId="1796" xr:uid="{00000000-0005-0000-0000-0000D40B0000}"/>
    <cellStyle name="Comma 35 7 2 2" xfId="4719" xr:uid="{00000000-0005-0000-0000-0000D50B0000}"/>
    <cellStyle name="Comma 35 7 3" xfId="4720" xr:uid="{00000000-0005-0000-0000-0000D60B0000}"/>
    <cellStyle name="Comma 35 7 4" xfId="2956" xr:uid="{00000000-0005-0000-0000-0000D70B0000}"/>
    <cellStyle name="Comma 35 8" xfId="1221" xr:uid="{00000000-0005-0000-0000-0000D80B0000}"/>
    <cellStyle name="Comma 35 8 2" xfId="4721" xr:uid="{00000000-0005-0000-0000-0000D90B0000}"/>
    <cellStyle name="Comma 35 9" xfId="4722" xr:uid="{00000000-0005-0000-0000-0000DA0B0000}"/>
    <cellStyle name="Comma 36" xfId="607" xr:uid="{00000000-0005-0000-0000-0000DB0B0000}"/>
    <cellStyle name="Comma 36 10" xfId="2381" xr:uid="{00000000-0005-0000-0000-0000DC0B0000}"/>
    <cellStyle name="Comma 36 2" xfId="608" xr:uid="{00000000-0005-0000-0000-0000DD0B0000}"/>
    <cellStyle name="Comma 36 2 2" xfId="609" xr:uid="{00000000-0005-0000-0000-0000DE0B0000}"/>
    <cellStyle name="Comma 36 2 2 2" xfId="610" xr:uid="{00000000-0005-0000-0000-0000DF0B0000}"/>
    <cellStyle name="Comma 36 2 2 2 2" xfId="1987" xr:uid="{00000000-0005-0000-0000-0000E00B0000}"/>
    <cellStyle name="Comma 36 2 2 2 2 2" xfId="4723" xr:uid="{00000000-0005-0000-0000-0000E10B0000}"/>
    <cellStyle name="Comma 36 2 2 2 3" xfId="4724" xr:uid="{00000000-0005-0000-0000-0000E20B0000}"/>
    <cellStyle name="Comma 36 2 2 2 4" xfId="3147" xr:uid="{00000000-0005-0000-0000-0000E30B0000}"/>
    <cellStyle name="Comma 36 2 2 3" xfId="1413" xr:uid="{00000000-0005-0000-0000-0000E40B0000}"/>
    <cellStyle name="Comma 36 2 2 3 2" xfId="4725" xr:uid="{00000000-0005-0000-0000-0000E50B0000}"/>
    <cellStyle name="Comma 36 2 2 4" xfId="4726" xr:uid="{00000000-0005-0000-0000-0000E60B0000}"/>
    <cellStyle name="Comma 36 2 2 5" xfId="2572" xr:uid="{00000000-0005-0000-0000-0000E70B0000}"/>
    <cellStyle name="Comma 36 2 3" xfId="611" xr:uid="{00000000-0005-0000-0000-0000E80B0000}"/>
    <cellStyle name="Comma 36 2 3 2" xfId="612" xr:uid="{00000000-0005-0000-0000-0000E90B0000}"/>
    <cellStyle name="Comma 36 2 3 2 2" xfId="2123" xr:uid="{00000000-0005-0000-0000-0000EA0B0000}"/>
    <cellStyle name="Comma 36 2 3 2 2 2" xfId="4727" xr:uid="{00000000-0005-0000-0000-0000EB0B0000}"/>
    <cellStyle name="Comma 36 2 3 2 3" xfId="4728" xr:uid="{00000000-0005-0000-0000-0000EC0B0000}"/>
    <cellStyle name="Comma 36 2 3 2 4" xfId="3283" xr:uid="{00000000-0005-0000-0000-0000ED0B0000}"/>
    <cellStyle name="Comma 36 2 3 3" xfId="1549" xr:uid="{00000000-0005-0000-0000-0000EE0B0000}"/>
    <cellStyle name="Comma 36 2 3 3 2" xfId="4729" xr:uid="{00000000-0005-0000-0000-0000EF0B0000}"/>
    <cellStyle name="Comma 36 2 3 4" xfId="4730" xr:uid="{00000000-0005-0000-0000-0000F00B0000}"/>
    <cellStyle name="Comma 36 2 3 5" xfId="2708" xr:uid="{00000000-0005-0000-0000-0000F10B0000}"/>
    <cellStyle name="Comma 36 2 4" xfId="613" xr:uid="{00000000-0005-0000-0000-0000F20B0000}"/>
    <cellStyle name="Comma 36 2 4 2" xfId="614" xr:uid="{00000000-0005-0000-0000-0000F30B0000}"/>
    <cellStyle name="Comma 36 2 4 2 2" xfId="2269" xr:uid="{00000000-0005-0000-0000-0000F40B0000}"/>
    <cellStyle name="Comma 36 2 4 2 2 2" xfId="4731" xr:uid="{00000000-0005-0000-0000-0000F50B0000}"/>
    <cellStyle name="Comma 36 2 4 2 3" xfId="4732" xr:uid="{00000000-0005-0000-0000-0000F60B0000}"/>
    <cellStyle name="Comma 36 2 4 2 4" xfId="3429" xr:uid="{00000000-0005-0000-0000-0000F70B0000}"/>
    <cellStyle name="Comma 36 2 4 3" xfId="1695" xr:uid="{00000000-0005-0000-0000-0000F80B0000}"/>
    <cellStyle name="Comma 36 2 4 3 2" xfId="4733" xr:uid="{00000000-0005-0000-0000-0000F90B0000}"/>
    <cellStyle name="Comma 36 2 4 4" xfId="4734" xr:uid="{00000000-0005-0000-0000-0000FA0B0000}"/>
    <cellStyle name="Comma 36 2 4 5" xfId="2854" xr:uid="{00000000-0005-0000-0000-0000FB0B0000}"/>
    <cellStyle name="Comma 36 2 5" xfId="615" xr:uid="{00000000-0005-0000-0000-0000FC0B0000}"/>
    <cellStyle name="Comma 36 2 5 2" xfId="1844" xr:uid="{00000000-0005-0000-0000-0000FD0B0000}"/>
    <cellStyle name="Comma 36 2 5 2 2" xfId="4735" xr:uid="{00000000-0005-0000-0000-0000FE0B0000}"/>
    <cellStyle name="Comma 36 2 5 3" xfId="4736" xr:uid="{00000000-0005-0000-0000-0000FF0B0000}"/>
    <cellStyle name="Comma 36 2 5 4" xfId="3004" xr:uid="{00000000-0005-0000-0000-0000000C0000}"/>
    <cellStyle name="Comma 36 2 6" xfId="1269" xr:uid="{00000000-0005-0000-0000-0000010C0000}"/>
    <cellStyle name="Comma 36 2 6 2" xfId="4737" xr:uid="{00000000-0005-0000-0000-0000020C0000}"/>
    <cellStyle name="Comma 36 2 7" xfId="4738" xr:uid="{00000000-0005-0000-0000-0000030C0000}"/>
    <cellStyle name="Comma 36 2 8" xfId="2428" xr:uid="{00000000-0005-0000-0000-0000040C0000}"/>
    <cellStyle name="Comma 36 3" xfId="616" xr:uid="{00000000-0005-0000-0000-0000050C0000}"/>
    <cellStyle name="Comma 36 3 2" xfId="617" xr:uid="{00000000-0005-0000-0000-0000060C0000}"/>
    <cellStyle name="Comma 36 3 2 2" xfId="618" xr:uid="{00000000-0005-0000-0000-0000070C0000}"/>
    <cellStyle name="Comma 36 3 2 2 2" xfId="2028" xr:uid="{00000000-0005-0000-0000-0000080C0000}"/>
    <cellStyle name="Comma 36 3 2 2 2 2" xfId="4739" xr:uid="{00000000-0005-0000-0000-0000090C0000}"/>
    <cellStyle name="Comma 36 3 2 2 3" xfId="4740" xr:uid="{00000000-0005-0000-0000-00000A0C0000}"/>
    <cellStyle name="Comma 36 3 2 2 4" xfId="3188" xr:uid="{00000000-0005-0000-0000-00000B0C0000}"/>
    <cellStyle name="Comma 36 3 2 3" xfId="1454" xr:uid="{00000000-0005-0000-0000-00000C0C0000}"/>
    <cellStyle name="Comma 36 3 2 3 2" xfId="4741" xr:uid="{00000000-0005-0000-0000-00000D0C0000}"/>
    <cellStyle name="Comma 36 3 2 4" xfId="4742" xr:uid="{00000000-0005-0000-0000-00000E0C0000}"/>
    <cellStyle name="Comma 36 3 2 5" xfId="2613" xr:uid="{00000000-0005-0000-0000-00000F0C0000}"/>
    <cellStyle name="Comma 36 3 3" xfId="619" xr:uid="{00000000-0005-0000-0000-0000100C0000}"/>
    <cellStyle name="Comma 36 3 3 2" xfId="620" xr:uid="{00000000-0005-0000-0000-0000110C0000}"/>
    <cellStyle name="Comma 36 3 3 2 2" xfId="2164" xr:uid="{00000000-0005-0000-0000-0000120C0000}"/>
    <cellStyle name="Comma 36 3 3 2 2 2" xfId="4743" xr:uid="{00000000-0005-0000-0000-0000130C0000}"/>
    <cellStyle name="Comma 36 3 3 2 3" xfId="4744" xr:uid="{00000000-0005-0000-0000-0000140C0000}"/>
    <cellStyle name="Comma 36 3 3 2 4" xfId="3324" xr:uid="{00000000-0005-0000-0000-0000150C0000}"/>
    <cellStyle name="Comma 36 3 3 3" xfId="1590" xr:uid="{00000000-0005-0000-0000-0000160C0000}"/>
    <cellStyle name="Comma 36 3 3 3 2" xfId="4745" xr:uid="{00000000-0005-0000-0000-0000170C0000}"/>
    <cellStyle name="Comma 36 3 3 4" xfId="4746" xr:uid="{00000000-0005-0000-0000-0000180C0000}"/>
    <cellStyle name="Comma 36 3 3 5" xfId="2749" xr:uid="{00000000-0005-0000-0000-0000190C0000}"/>
    <cellStyle name="Comma 36 3 4" xfId="621" xr:uid="{00000000-0005-0000-0000-00001A0C0000}"/>
    <cellStyle name="Comma 36 3 4 2" xfId="622" xr:uid="{00000000-0005-0000-0000-00001B0C0000}"/>
    <cellStyle name="Comma 36 3 4 2 2" xfId="2310" xr:uid="{00000000-0005-0000-0000-00001C0C0000}"/>
    <cellStyle name="Comma 36 3 4 2 2 2" xfId="4747" xr:uid="{00000000-0005-0000-0000-00001D0C0000}"/>
    <cellStyle name="Comma 36 3 4 2 3" xfId="4748" xr:uid="{00000000-0005-0000-0000-00001E0C0000}"/>
    <cellStyle name="Comma 36 3 4 2 4" xfId="3470" xr:uid="{00000000-0005-0000-0000-00001F0C0000}"/>
    <cellStyle name="Comma 36 3 4 3" xfId="1736" xr:uid="{00000000-0005-0000-0000-0000200C0000}"/>
    <cellStyle name="Comma 36 3 4 3 2" xfId="4749" xr:uid="{00000000-0005-0000-0000-0000210C0000}"/>
    <cellStyle name="Comma 36 3 4 4" xfId="4750" xr:uid="{00000000-0005-0000-0000-0000220C0000}"/>
    <cellStyle name="Comma 36 3 4 5" xfId="2895" xr:uid="{00000000-0005-0000-0000-0000230C0000}"/>
    <cellStyle name="Comma 36 3 5" xfId="623" xr:uid="{00000000-0005-0000-0000-0000240C0000}"/>
    <cellStyle name="Comma 36 3 5 2" xfId="1885" xr:uid="{00000000-0005-0000-0000-0000250C0000}"/>
    <cellStyle name="Comma 36 3 5 2 2" xfId="4751" xr:uid="{00000000-0005-0000-0000-0000260C0000}"/>
    <cellStyle name="Comma 36 3 5 3" xfId="4752" xr:uid="{00000000-0005-0000-0000-0000270C0000}"/>
    <cellStyle name="Comma 36 3 5 4" xfId="3045" xr:uid="{00000000-0005-0000-0000-0000280C0000}"/>
    <cellStyle name="Comma 36 3 6" xfId="1310" xr:uid="{00000000-0005-0000-0000-0000290C0000}"/>
    <cellStyle name="Comma 36 3 6 2" xfId="4753" xr:uid="{00000000-0005-0000-0000-00002A0C0000}"/>
    <cellStyle name="Comma 36 3 7" xfId="4754" xr:uid="{00000000-0005-0000-0000-00002B0C0000}"/>
    <cellStyle name="Comma 36 3 8" xfId="2469" xr:uid="{00000000-0005-0000-0000-00002C0C0000}"/>
    <cellStyle name="Comma 36 4" xfId="624" xr:uid="{00000000-0005-0000-0000-00002D0C0000}"/>
    <cellStyle name="Comma 36 4 2" xfId="625" xr:uid="{00000000-0005-0000-0000-00002E0C0000}"/>
    <cellStyle name="Comma 36 4 2 2" xfId="1941" xr:uid="{00000000-0005-0000-0000-00002F0C0000}"/>
    <cellStyle name="Comma 36 4 2 2 2" xfId="4755" xr:uid="{00000000-0005-0000-0000-0000300C0000}"/>
    <cellStyle name="Comma 36 4 2 3" xfId="4756" xr:uid="{00000000-0005-0000-0000-0000310C0000}"/>
    <cellStyle name="Comma 36 4 2 4" xfId="3101" xr:uid="{00000000-0005-0000-0000-0000320C0000}"/>
    <cellStyle name="Comma 36 4 3" xfId="1366" xr:uid="{00000000-0005-0000-0000-0000330C0000}"/>
    <cellStyle name="Comma 36 4 3 2" xfId="4757" xr:uid="{00000000-0005-0000-0000-0000340C0000}"/>
    <cellStyle name="Comma 36 4 4" xfId="4758" xr:uid="{00000000-0005-0000-0000-0000350C0000}"/>
    <cellStyle name="Comma 36 4 5" xfId="2525" xr:uid="{00000000-0005-0000-0000-0000360C0000}"/>
    <cellStyle name="Comma 36 5" xfId="626" xr:uid="{00000000-0005-0000-0000-0000370C0000}"/>
    <cellStyle name="Comma 36 5 2" xfId="627" xr:uid="{00000000-0005-0000-0000-0000380C0000}"/>
    <cellStyle name="Comma 36 5 2 2" xfId="2076" xr:uid="{00000000-0005-0000-0000-0000390C0000}"/>
    <cellStyle name="Comma 36 5 2 2 2" xfId="4759" xr:uid="{00000000-0005-0000-0000-00003A0C0000}"/>
    <cellStyle name="Comma 36 5 2 3" xfId="4760" xr:uid="{00000000-0005-0000-0000-00003B0C0000}"/>
    <cellStyle name="Comma 36 5 2 4" xfId="3236" xr:uid="{00000000-0005-0000-0000-00003C0C0000}"/>
    <cellStyle name="Comma 36 5 3" xfId="1502" xr:uid="{00000000-0005-0000-0000-00003D0C0000}"/>
    <cellStyle name="Comma 36 5 3 2" xfId="4761" xr:uid="{00000000-0005-0000-0000-00003E0C0000}"/>
    <cellStyle name="Comma 36 5 4" xfId="4762" xr:uid="{00000000-0005-0000-0000-00003F0C0000}"/>
    <cellStyle name="Comma 36 5 5" xfId="2661" xr:uid="{00000000-0005-0000-0000-0000400C0000}"/>
    <cellStyle name="Comma 36 6" xfId="628" xr:uid="{00000000-0005-0000-0000-0000410C0000}"/>
    <cellStyle name="Comma 36 6 2" xfId="629" xr:uid="{00000000-0005-0000-0000-0000420C0000}"/>
    <cellStyle name="Comma 36 6 2 2" xfId="2222" xr:uid="{00000000-0005-0000-0000-0000430C0000}"/>
    <cellStyle name="Comma 36 6 2 2 2" xfId="4763" xr:uid="{00000000-0005-0000-0000-0000440C0000}"/>
    <cellStyle name="Comma 36 6 2 3" xfId="4764" xr:uid="{00000000-0005-0000-0000-0000450C0000}"/>
    <cellStyle name="Comma 36 6 2 4" xfId="3382" xr:uid="{00000000-0005-0000-0000-0000460C0000}"/>
    <cellStyle name="Comma 36 6 3" xfId="1648" xr:uid="{00000000-0005-0000-0000-0000470C0000}"/>
    <cellStyle name="Comma 36 6 3 2" xfId="4765" xr:uid="{00000000-0005-0000-0000-0000480C0000}"/>
    <cellStyle name="Comma 36 6 4" xfId="4766" xr:uid="{00000000-0005-0000-0000-0000490C0000}"/>
    <cellStyle name="Comma 36 6 5" xfId="2807" xr:uid="{00000000-0005-0000-0000-00004A0C0000}"/>
    <cellStyle name="Comma 36 7" xfId="630" xr:uid="{00000000-0005-0000-0000-00004B0C0000}"/>
    <cellStyle name="Comma 36 7 2" xfId="1797" xr:uid="{00000000-0005-0000-0000-00004C0C0000}"/>
    <cellStyle name="Comma 36 7 2 2" xfId="4767" xr:uid="{00000000-0005-0000-0000-00004D0C0000}"/>
    <cellStyle name="Comma 36 7 3" xfId="4768" xr:uid="{00000000-0005-0000-0000-00004E0C0000}"/>
    <cellStyle name="Comma 36 7 4" xfId="2957" xr:uid="{00000000-0005-0000-0000-00004F0C0000}"/>
    <cellStyle name="Comma 36 8" xfId="1222" xr:uid="{00000000-0005-0000-0000-0000500C0000}"/>
    <cellStyle name="Comma 36 8 2" xfId="4769" xr:uid="{00000000-0005-0000-0000-0000510C0000}"/>
    <cellStyle name="Comma 36 9" xfId="4770" xr:uid="{00000000-0005-0000-0000-0000520C0000}"/>
    <cellStyle name="Comma 37" xfId="631" xr:uid="{00000000-0005-0000-0000-0000530C0000}"/>
    <cellStyle name="Comma 37 10" xfId="2382" xr:uid="{00000000-0005-0000-0000-0000540C0000}"/>
    <cellStyle name="Comma 37 2" xfId="632" xr:uid="{00000000-0005-0000-0000-0000550C0000}"/>
    <cellStyle name="Comma 37 2 2" xfId="633" xr:uid="{00000000-0005-0000-0000-0000560C0000}"/>
    <cellStyle name="Comma 37 2 2 2" xfId="634" xr:uid="{00000000-0005-0000-0000-0000570C0000}"/>
    <cellStyle name="Comma 37 2 2 2 2" xfId="1988" xr:uid="{00000000-0005-0000-0000-0000580C0000}"/>
    <cellStyle name="Comma 37 2 2 2 2 2" xfId="4771" xr:uid="{00000000-0005-0000-0000-0000590C0000}"/>
    <cellStyle name="Comma 37 2 2 2 3" xfId="4772" xr:uid="{00000000-0005-0000-0000-00005A0C0000}"/>
    <cellStyle name="Comma 37 2 2 2 4" xfId="3148" xr:uid="{00000000-0005-0000-0000-00005B0C0000}"/>
    <cellStyle name="Comma 37 2 2 3" xfId="1414" xr:uid="{00000000-0005-0000-0000-00005C0C0000}"/>
    <cellStyle name="Comma 37 2 2 3 2" xfId="4773" xr:uid="{00000000-0005-0000-0000-00005D0C0000}"/>
    <cellStyle name="Comma 37 2 2 4" xfId="4774" xr:uid="{00000000-0005-0000-0000-00005E0C0000}"/>
    <cellStyle name="Comma 37 2 2 5" xfId="2573" xr:uid="{00000000-0005-0000-0000-00005F0C0000}"/>
    <cellStyle name="Comma 37 2 3" xfId="635" xr:uid="{00000000-0005-0000-0000-0000600C0000}"/>
    <cellStyle name="Comma 37 2 3 2" xfId="636" xr:uid="{00000000-0005-0000-0000-0000610C0000}"/>
    <cellStyle name="Comma 37 2 3 2 2" xfId="2124" xr:uid="{00000000-0005-0000-0000-0000620C0000}"/>
    <cellStyle name="Comma 37 2 3 2 2 2" xfId="4775" xr:uid="{00000000-0005-0000-0000-0000630C0000}"/>
    <cellStyle name="Comma 37 2 3 2 3" xfId="4776" xr:uid="{00000000-0005-0000-0000-0000640C0000}"/>
    <cellStyle name="Comma 37 2 3 2 4" xfId="3284" xr:uid="{00000000-0005-0000-0000-0000650C0000}"/>
    <cellStyle name="Comma 37 2 3 3" xfId="1550" xr:uid="{00000000-0005-0000-0000-0000660C0000}"/>
    <cellStyle name="Comma 37 2 3 3 2" xfId="4777" xr:uid="{00000000-0005-0000-0000-0000670C0000}"/>
    <cellStyle name="Comma 37 2 3 4" xfId="4778" xr:uid="{00000000-0005-0000-0000-0000680C0000}"/>
    <cellStyle name="Comma 37 2 3 5" xfId="2709" xr:uid="{00000000-0005-0000-0000-0000690C0000}"/>
    <cellStyle name="Comma 37 2 4" xfId="637" xr:uid="{00000000-0005-0000-0000-00006A0C0000}"/>
    <cellStyle name="Comma 37 2 4 2" xfId="638" xr:uid="{00000000-0005-0000-0000-00006B0C0000}"/>
    <cellStyle name="Comma 37 2 4 2 2" xfId="2270" xr:uid="{00000000-0005-0000-0000-00006C0C0000}"/>
    <cellStyle name="Comma 37 2 4 2 2 2" xfId="4779" xr:uid="{00000000-0005-0000-0000-00006D0C0000}"/>
    <cellStyle name="Comma 37 2 4 2 3" xfId="4780" xr:uid="{00000000-0005-0000-0000-00006E0C0000}"/>
    <cellStyle name="Comma 37 2 4 2 4" xfId="3430" xr:uid="{00000000-0005-0000-0000-00006F0C0000}"/>
    <cellStyle name="Comma 37 2 4 3" xfId="1696" xr:uid="{00000000-0005-0000-0000-0000700C0000}"/>
    <cellStyle name="Comma 37 2 4 3 2" xfId="4781" xr:uid="{00000000-0005-0000-0000-0000710C0000}"/>
    <cellStyle name="Comma 37 2 4 4" xfId="4782" xr:uid="{00000000-0005-0000-0000-0000720C0000}"/>
    <cellStyle name="Comma 37 2 4 5" xfId="2855" xr:uid="{00000000-0005-0000-0000-0000730C0000}"/>
    <cellStyle name="Comma 37 2 5" xfId="639" xr:uid="{00000000-0005-0000-0000-0000740C0000}"/>
    <cellStyle name="Comma 37 2 5 2" xfId="1845" xr:uid="{00000000-0005-0000-0000-0000750C0000}"/>
    <cellStyle name="Comma 37 2 5 2 2" xfId="4783" xr:uid="{00000000-0005-0000-0000-0000760C0000}"/>
    <cellStyle name="Comma 37 2 5 3" xfId="4784" xr:uid="{00000000-0005-0000-0000-0000770C0000}"/>
    <cellStyle name="Comma 37 2 5 4" xfId="3005" xr:uid="{00000000-0005-0000-0000-0000780C0000}"/>
    <cellStyle name="Comma 37 2 6" xfId="1270" xr:uid="{00000000-0005-0000-0000-0000790C0000}"/>
    <cellStyle name="Comma 37 2 6 2" xfId="4785" xr:uid="{00000000-0005-0000-0000-00007A0C0000}"/>
    <cellStyle name="Comma 37 2 7" xfId="4786" xr:uid="{00000000-0005-0000-0000-00007B0C0000}"/>
    <cellStyle name="Comma 37 2 8" xfId="2429" xr:uid="{00000000-0005-0000-0000-00007C0C0000}"/>
    <cellStyle name="Comma 37 3" xfId="640" xr:uid="{00000000-0005-0000-0000-00007D0C0000}"/>
    <cellStyle name="Comma 37 3 2" xfId="641" xr:uid="{00000000-0005-0000-0000-00007E0C0000}"/>
    <cellStyle name="Comma 37 3 2 2" xfId="642" xr:uid="{00000000-0005-0000-0000-00007F0C0000}"/>
    <cellStyle name="Comma 37 3 2 2 2" xfId="2029" xr:uid="{00000000-0005-0000-0000-0000800C0000}"/>
    <cellStyle name="Comma 37 3 2 2 2 2" xfId="4787" xr:uid="{00000000-0005-0000-0000-0000810C0000}"/>
    <cellStyle name="Comma 37 3 2 2 3" xfId="4788" xr:uid="{00000000-0005-0000-0000-0000820C0000}"/>
    <cellStyle name="Comma 37 3 2 2 4" xfId="3189" xr:uid="{00000000-0005-0000-0000-0000830C0000}"/>
    <cellStyle name="Comma 37 3 2 3" xfId="1455" xr:uid="{00000000-0005-0000-0000-0000840C0000}"/>
    <cellStyle name="Comma 37 3 2 3 2" xfId="4789" xr:uid="{00000000-0005-0000-0000-0000850C0000}"/>
    <cellStyle name="Comma 37 3 2 4" xfId="4790" xr:uid="{00000000-0005-0000-0000-0000860C0000}"/>
    <cellStyle name="Comma 37 3 2 5" xfId="2614" xr:uid="{00000000-0005-0000-0000-0000870C0000}"/>
    <cellStyle name="Comma 37 3 3" xfId="643" xr:uid="{00000000-0005-0000-0000-0000880C0000}"/>
    <cellStyle name="Comma 37 3 3 2" xfId="644" xr:uid="{00000000-0005-0000-0000-0000890C0000}"/>
    <cellStyle name="Comma 37 3 3 2 2" xfId="2165" xr:uid="{00000000-0005-0000-0000-00008A0C0000}"/>
    <cellStyle name="Comma 37 3 3 2 2 2" xfId="4791" xr:uid="{00000000-0005-0000-0000-00008B0C0000}"/>
    <cellStyle name="Comma 37 3 3 2 3" xfId="4792" xr:uid="{00000000-0005-0000-0000-00008C0C0000}"/>
    <cellStyle name="Comma 37 3 3 2 4" xfId="3325" xr:uid="{00000000-0005-0000-0000-00008D0C0000}"/>
    <cellStyle name="Comma 37 3 3 3" xfId="1591" xr:uid="{00000000-0005-0000-0000-00008E0C0000}"/>
    <cellStyle name="Comma 37 3 3 3 2" xfId="4793" xr:uid="{00000000-0005-0000-0000-00008F0C0000}"/>
    <cellStyle name="Comma 37 3 3 4" xfId="4794" xr:uid="{00000000-0005-0000-0000-0000900C0000}"/>
    <cellStyle name="Comma 37 3 3 5" xfId="2750" xr:uid="{00000000-0005-0000-0000-0000910C0000}"/>
    <cellStyle name="Comma 37 3 4" xfId="645" xr:uid="{00000000-0005-0000-0000-0000920C0000}"/>
    <cellStyle name="Comma 37 3 4 2" xfId="646" xr:uid="{00000000-0005-0000-0000-0000930C0000}"/>
    <cellStyle name="Comma 37 3 4 2 2" xfId="2311" xr:uid="{00000000-0005-0000-0000-0000940C0000}"/>
    <cellStyle name="Comma 37 3 4 2 2 2" xfId="4795" xr:uid="{00000000-0005-0000-0000-0000950C0000}"/>
    <cellStyle name="Comma 37 3 4 2 3" xfId="4796" xr:uid="{00000000-0005-0000-0000-0000960C0000}"/>
    <cellStyle name="Comma 37 3 4 2 4" xfId="3471" xr:uid="{00000000-0005-0000-0000-0000970C0000}"/>
    <cellStyle name="Comma 37 3 4 3" xfId="1737" xr:uid="{00000000-0005-0000-0000-0000980C0000}"/>
    <cellStyle name="Comma 37 3 4 3 2" xfId="4797" xr:uid="{00000000-0005-0000-0000-0000990C0000}"/>
    <cellStyle name="Comma 37 3 4 4" xfId="4798" xr:uid="{00000000-0005-0000-0000-00009A0C0000}"/>
    <cellStyle name="Comma 37 3 4 5" xfId="2896" xr:uid="{00000000-0005-0000-0000-00009B0C0000}"/>
    <cellStyle name="Comma 37 3 5" xfId="647" xr:uid="{00000000-0005-0000-0000-00009C0C0000}"/>
    <cellStyle name="Comma 37 3 5 2" xfId="1886" xr:uid="{00000000-0005-0000-0000-00009D0C0000}"/>
    <cellStyle name="Comma 37 3 5 2 2" xfId="4799" xr:uid="{00000000-0005-0000-0000-00009E0C0000}"/>
    <cellStyle name="Comma 37 3 5 3" xfId="4800" xr:uid="{00000000-0005-0000-0000-00009F0C0000}"/>
    <cellStyle name="Comma 37 3 5 4" xfId="3046" xr:uid="{00000000-0005-0000-0000-0000A00C0000}"/>
    <cellStyle name="Comma 37 3 6" xfId="1311" xr:uid="{00000000-0005-0000-0000-0000A10C0000}"/>
    <cellStyle name="Comma 37 3 6 2" xfId="4801" xr:uid="{00000000-0005-0000-0000-0000A20C0000}"/>
    <cellStyle name="Comma 37 3 7" xfId="4802" xr:uid="{00000000-0005-0000-0000-0000A30C0000}"/>
    <cellStyle name="Comma 37 3 8" xfId="2470" xr:uid="{00000000-0005-0000-0000-0000A40C0000}"/>
    <cellStyle name="Comma 37 4" xfId="648" xr:uid="{00000000-0005-0000-0000-0000A50C0000}"/>
    <cellStyle name="Comma 37 4 2" xfId="649" xr:uid="{00000000-0005-0000-0000-0000A60C0000}"/>
    <cellStyle name="Comma 37 4 2 2" xfId="1942" xr:uid="{00000000-0005-0000-0000-0000A70C0000}"/>
    <cellStyle name="Comma 37 4 2 2 2" xfId="4803" xr:uid="{00000000-0005-0000-0000-0000A80C0000}"/>
    <cellStyle name="Comma 37 4 2 3" xfId="4804" xr:uid="{00000000-0005-0000-0000-0000A90C0000}"/>
    <cellStyle name="Comma 37 4 2 4" xfId="3102" xr:uid="{00000000-0005-0000-0000-0000AA0C0000}"/>
    <cellStyle name="Comma 37 4 3" xfId="1367" xr:uid="{00000000-0005-0000-0000-0000AB0C0000}"/>
    <cellStyle name="Comma 37 4 3 2" xfId="4805" xr:uid="{00000000-0005-0000-0000-0000AC0C0000}"/>
    <cellStyle name="Comma 37 4 4" xfId="4806" xr:uid="{00000000-0005-0000-0000-0000AD0C0000}"/>
    <cellStyle name="Comma 37 4 5" xfId="2526" xr:uid="{00000000-0005-0000-0000-0000AE0C0000}"/>
    <cellStyle name="Comma 37 5" xfId="650" xr:uid="{00000000-0005-0000-0000-0000AF0C0000}"/>
    <cellStyle name="Comma 37 5 2" xfId="651" xr:uid="{00000000-0005-0000-0000-0000B00C0000}"/>
    <cellStyle name="Comma 37 5 2 2" xfId="2077" xr:uid="{00000000-0005-0000-0000-0000B10C0000}"/>
    <cellStyle name="Comma 37 5 2 2 2" xfId="4807" xr:uid="{00000000-0005-0000-0000-0000B20C0000}"/>
    <cellStyle name="Comma 37 5 2 3" xfId="4808" xr:uid="{00000000-0005-0000-0000-0000B30C0000}"/>
    <cellStyle name="Comma 37 5 2 4" xfId="3237" xr:uid="{00000000-0005-0000-0000-0000B40C0000}"/>
    <cellStyle name="Comma 37 5 3" xfId="1503" xr:uid="{00000000-0005-0000-0000-0000B50C0000}"/>
    <cellStyle name="Comma 37 5 3 2" xfId="4809" xr:uid="{00000000-0005-0000-0000-0000B60C0000}"/>
    <cellStyle name="Comma 37 5 4" xfId="4810" xr:uid="{00000000-0005-0000-0000-0000B70C0000}"/>
    <cellStyle name="Comma 37 5 5" xfId="2662" xr:uid="{00000000-0005-0000-0000-0000B80C0000}"/>
    <cellStyle name="Comma 37 6" xfId="652" xr:uid="{00000000-0005-0000-0000-0000B90C0000}"/>
    <cellStyle name="Comma 37 6 2" xfId="653" xr:uid="{00000000-0005-0000-0000-0000BA0C0000}"/>
    <cellStyle name="Comma 37 6 2 2" xfId="2223" xr:uid="{00000000-0005-0000-0000-0000BB0C0000}"/>
    <cellStyle name="Comma 37 6 2 2 2" xfId="4811" xr:uid="{00000000-0005-0000-0000-0000BC0C0000}"/>
    <cellStyle name="Comma 37 6 2 3" xfId="4812" xr:uid="{00000000-0005-0000-0000-0000BD0C0000}"/>
    <cellStyle name="Comma 37 6 2 4" xfId="3383" xr:uid="{00000000-0005-0000-0000-0000BE0C0000}"/>
    <cellStyle name="Comma 37 6 3" xfId="1649" xr:uid="{00000000-0005-0000-0000-0000BF0C0000}"/>
    <cellStyle name="Comma 37 6 3 2" xfId="4813" xr:uid="{00000000-0005-0000-0000-0000C00C0000}"/>
    <cellStyle name="Comma 37 6 4" xfId="4814" xr:uid="{00000000-0005-0000-0000-0000C10C0000}"/>
    <cellStyle name="Comma 37 6 5" xfId="2808" xr:uid="{00000000-0005-0000-0000-0000C20C0000}"/>
    <cellStyle name="Comma 37 7" xfId="654" xr:uid="{00000000-0005-0000-0000-0000C30C0000}"/>
    <cellStyle name="Comma 37 7 2" xfId="1798" xr:uid="{00000000-0005-0000-0000-0000C40C0000}"/>
    <cellStyle name="Comma 37 7 2 2" xfId="4815" xr:uid="{00000000-0005-0000-0000-0000C50C0000}"/>
    <cellStyle name="Comma 37 7 3" xfId="4816" xr:uid="{00000000-0005-0000-0000-0000C60C0000}"/>
    <cellStyle name="Comma 37 7 4" xfId="2958" xr:uid="{00000000-0005-0000-0000-0000C70C0000}"/>
    <cellStyle name="Comma 37 8" xfId="1223" xr:uid="{00000000-0005-0000-0000-0000C80C0000}"/>
    <cellStyle name="Comma 37 8 2" xfId="4817" xr:uid="{00000000-0005-0000-0000-0000C90C0000}"/>
    <cellStyle name="Comma 37 9" xfId="4818" xr:uid="{00000000-0005-0000-0000-0000CA0C0000}"/>
    <cellStyle name="Comma 38" xfId="655" xr:uid="{00000000-0005-0000-0000-0000CB0C0000}"/>
    <cellStyle name="Comma 38 10" xfId="2383" xr:uid="{00000000-0005-0000-0000-0000CC0C0000}"/>
    <cellStyle name="Comma 38 2" xfId="656" xr:uid="{00000000-0005-0000-0000-0000CD0C0000}"/>
    <cellStyle name="Comma 38 2 2" xfId="657" xr:uid="{00000000-0005-0000-0000-0000CE0C0000}"/>
    <cellStyle name="Comma 38 2 2 2" xfId="658" xr:uid="{00000000-0005-0000-0000-0000CF0C0000}"/>
    <cellStyle name="Comma 38 2 2 2 2" xfId="1989" xr:uid="{00000000-0005-0000-0000-0000D00C0000}"/>
    <cellStyle name="Comma 38 2 2 2 2 2" xfId="4819" xr:uid="{00000000-0005-0000-0000-0000D10C0000}"/>
    <cellStyle name="Comma 38 2 2 2 3" xfId="4820" xr:uid="{00000000-0005-0000-0000-0000D20C0000}"/>
    <cellStyle name="Comma 38 2 2 2 4" xfId="3149" xr:uid="{00000000-0005-0000-0000-0000D30C0000}"/>
    <cellStyle name="Comma 38 2 2 3" xfId="1415" xr:uid="{00000000-0005-0000-0000-0000D40C0000}"/>
    <cellStyle name="Comma 38 2 2 3 2" xfId="4821" xr:uid="{00000000-0005-0000-0000-0000D50C0000}"/>
    <cellStyle name="Comma 38 2 2 4" xfId="4822" xr:uid="{00000000-0005-0000-0000-0000D60C0000}"/>
    <cellStyle name="Comma 38 2 2 5" xfId="2574" xr:uid="{00000000-0005-0000-0000-0000D70C0000}"/>
    <cellStyle name="Comma 38 2 3" xfId="659" xr:uid="{00000000-0005-0000-0000-0000D80C0000}"/>
    <cellStyle name="Comma 38 2 3 2" xfId="660" xr:uid="{00000000-0005-0000-0000-0000D90C0000}"/>
    <cellStyle name="Comma 38 2 3 2 2" xfId="2125" xr:uid="{00000000-0005-0000-0000-0000DA0C0000}"/>
    <cellStyle name="Comma 38 2 3 2 2 2" xfId="4823" xr:uid="{00000000-0005-0000-0000-0000DB0C0000}"/>
    <cellStyle name="Comma 38 2 3 2 3" xfId="4824" xr:uid="{00000000-0005-0000-0000-0000DC0C0000}"/>
    <cellStyle name="Comma 38 2 3 2 4" xfId="3285" xr:uid="{00000000-0005-0000-0000-0000DD0C0000}"/>
    <cellStyle name="Comma 38 2 3 3" xfId="1551" xr:uid="{00000000-0005-0000-0000-0000DE0C0000}"/>
    <cellStyle name="Comma 38 2 3 3 2" xfId="4825" xr:uid="{00000000-0005-0000-0000-0000DF0C0000}"/>
    <cellStyle name="Comma 38 2 3 4" xfId="4826" xr:uid="{00000000-0005-0000-0000-0000E00C0000}"/>
    <cellStyle name="Comma 38 2 3 5" xfId="2710" xr:uid="{00000000-0005-0000-0000-0000E10C0000}"/>
    <cellStyle name="Comma 38 2 4" xfId="661" xr:uid="{00000000-0005-0000-0000-0000E20C0000}"/>
    <cellStyle name="Comma 38 2 4 2" xfId="662" xr:uid="{00000000-0005-0000-0000-0000E30C0000}"/>
    <cellStyle name="Comma 38 2 4 2 2" xfId="2271" xr:uid="{00000000-0005-0000-0000-0000E40C0000}"/>
    <cellStyle name="Comma 38 2 4 2 2 2" xfId="4827" xr:uid="{00000000-0005-0000-0000-0000E50C0000}"/>
    <cellStyle name="Comma 38 2 4 2 3" xfId="4828" xr:uid="{00000000-0005-0000-0000-0000E60C0000}"/>
    <cellStyle name="Comma 38 2 4 2 4" xfId="3431" xr:uid="{00000000-0005-0000-0000-0000E70C0000}"/>
    <cellStyle name="Comma 38 2 4 3" xfId="1697" xr:uid="{00000000-0005-0000-0000-0000E80C0000}"/>
    <cellStyle name="Comma 38 2 4 3 2" xfId="4829" xr:uid="{00000000-0005-0000-0000-0000E90C0000}"/>
    <cellStyle name="Comma 38 2 4 4" xfId="4830" xr:uid="{00000000-0005-0000-0000-0000EA0C0000}"/>
    <cellStyle name="Comma 38 2 4 5" xfId="2856" xr:uid="{00000000-0005-0000-0000-0000EB0C0000}"/>
    <cellStyle name="Comma 38 2 5" xfId="663" xr:uid="{00000000-0005-0000-0000-0000EC0C0000}"/>
    <cellStyle name="Comma 38 2 5 2" xfId="1846" xr:uid="{00000000-0005-0000-0000-0000ED0C0000}"/>
    <cellStyle name="Comma 38 2 5 2 2" xfId="4831" xr:uid="{00000000-0005-0000-0000-0000EE0C0000}"/>
    <cellStyle name="Comma 38 2 5 3" xfId="4832" xr:uid="{00000000-0005-0000-0000-0000EF0C0000}"/>
    <cellStyle name="Comma 38 2 5 4" xfId="3006" xr:uid="{00000000-0005-0000-0000-0000F00C0000}"/>
    <cellStyle name="Comma 38 2 6" xfId="1271" xr:uid="{00000000-0005-0000-0000-0000F10C0000}"/>
    <cellStyle name="Comma 38 2 6 2" xfId="4833" xr:uid="{00000000-0005-0000-0000-0000F20C0000}"/>
    <cellStyle name="Comma 38 2 7" xfId="4834" xr:uid="{00000000-0005-0000-0000-0000F30C0000}"/>
    <cellStyle name="Comma 38 2 8" xfId="2430" xr:uid="{00000000-0005-0000-0000-0000F40C0000}"/>
    <cellStyle name="Comma 38 3" xfId="664" xr:uid="{00000000-0005-0000-0000-0000F50C0000}"/>
    <cellStyle name="Comma 38 3 2" xfId="665" xr:uid="{00000000-0005-0000-0000-0000F60C0000}"/>
    <cellStyle name="Comma 38 3 2 2" xfId="666" xr:uid="{00000000-0005-0000-0000-0000F70C0000}"/>
    <cellStyle name="Comma 38 3 2 2 2" xfId="2030" xr:uid="{00000000-0005-0000-0000-0000F80C0000}"/>
    <cellStyle name="Comma 38 3 2 2 2 2" xfId="4835" xr:uid="{00000000-0005-0000-0000-0000F90C0000}"/>
    <cellStyle name="Comma 38 3 2 2 3" xfId="4836" xr:uid="{00000000-0005-0000-0000-0000FA0C0000}"/>
    <cellStyle name="Comma 38 3 2 2 4" xfId="3190" xr:uid="{00000000-0005-0000-0000-0000FB0C0000}"/>
    <cellStyle name="Comma 38 3 2 3" xfId="1456" xr:uid="{00000000-0005-0000-0000-0000FC0C0000}"/>
    <cellStyle name="Comma 38 3 2 3 2" xfId="4837" xr:uid="{00000000-0005-0000-0000-0000FD0C0000}"/>
    <cellStyle name="Comma 38 3 2 4" xfId="4838" xr:uid="{00000000-0005-0000-0000-0000FE0C0000}"/>
    <cellStyle name="Comma 38 3 2 5" xfId="2615" xr:uid="{00000000-0005-0000-0000-0000FF0C0000}"/>
    <cellStyle name="Comma 38 3 3" xfId="667" xr:uid="{00000000-0005-0000-0000-0000000D0000}"/>
    <cellStyle name="Comma 38 3 3 2" xfId="668" xr:uid="{00000000-0005-0000-0000-0000010D0000}"/>
    <cellStyle name="Comma 38 3 3 2 2" xfId="2166" xr:uid="{00000000-0005-0000-0000-0000020D0000}"/>
    <cellStyle name="Comma 38 3 3 2 2 2" xfId="4839" xr:uid="{00000000-0005-0000-0000-0000030D0000}"/>
    <cellStyle name="Comma 38 3 3 2 3" xfId="4840" xr:uid="{00000000-0005-0000-0000-0000040D0000}"/>
    <cellStyle name="Comma 38 3 3 2 4" xfId="3326" xr:uid="{00000000-0005-0000-0000-0000050D0000}"/>
    <cellStyle name="Comma 38 3 3 3" xfId="1592" xr:uid="{00000000-0005-0000-0000-0000060D0000}"/>
    <cellStyle name="Comma 38 3 3 3 2" xfId="4841" xr:uid="{00000000-0005-0000-0000-0000070D0000}"/>
    <cellStyle name="Comma 38 3 3 4" xfId="4842" xr:uid="{00000000-0005-0000-0000-0000080D0000}"/>
    <cellStyle name="Comma 38 3 3 5" xfId="2751" xr:uid="{00000000-0005-0000-0000-0000090D0000}"/>
    <cellStyle name="Comma 38 3 4" xfId="669" xr:uid="{00000000-0005-0000-0000-00000A0D0000}"/>
    <cellStyle name="Comma 38 3 4 2" xfId="670" xr:uid="{00000000-0005-0000-0000-00000B0D0000}"/>
    <cellStyle name="Comma 38 3 4 2 2" xfId="2312" xr:uid="{00000000-0005-0000-0000-00000C0D0000}"/>
    <cellStyle name="Comma 38 3 4 2 2 2" xfId="4843" xr:uid="{00000000-0005-0000-0000-00000D0D0000}"/>
    <cellStyle name="Comma 38 3 4 2 3" xfId="4844" xr:uid="{00000000-0005-0000-0000-00000E0D0000}"/>
    <cellStyle name="Comma 38 3 4 2 4" xfId="3472" xr:uid="{00000000-0005-0000-0000-00000F0D0000}"/>
    <cellStyle name="Comma 38 3 4 3" xfId="1738" xr:uid="{00000000-0005-0000-0000-0000100D0000}"/>
    <cellStyle name="Comma 38 3 4 3 2" xfId="4845" xr:uid="{00000000-0005-0000-0000-0000110D0000}"/>
    <cellStyle name="Comma 38 3 4 4" xfId="4846" xr:uid="{00000000-0005-0000-0000-0000120D0000}"/>
    <cellStyle name="Comma 38 3 4 5" xfId="2897" xr:uid="{00000000-0005-0000-0000-0000130D0000}"/>
    <cellStyle name="Comma 38 3 5" xfId="671" xr:uid="{00000000-0005-0000-0000-0000140D0000}"/>
    <cellStyle name="Comma 38 3 5 2" xfId="1887" xr:uid="{00000000-0005-0000-0000-0000150D0000}"/>
    <cellStyle name="Comma 38 3 5 2 2" xfId="4847" xr:uid="{00000000-0005-0000-0000-0000160D0000}"/>
    <cellStyle name="Comma 38 3 5 3" xfId="4848" xr:uid="{00000000-0005-0000-0000-0000170D0000}"/>
    <cellStyle name="Comma 38 3 5 4" xfId="3047" xr:uid="{00000000-0005-0000-0000-0000180D0000}"/>
    <cellStyle name="Comma 38 3 6" xfId="1312" xr:uid="{00000000-0005-0000-0000-0000190D0000}"/>
    <cellStyle name="Comma 38 3 6 2" xfId="4849" xr:uid="{00000000-0005-0000-0000-00001A0D0000}"/>
    <cellStyle name="Comma 38 3 7" xfId="4850" xr:uid="{00000000-0005-0000-0000-00001B0D0000}"/>
    <cellStyle name="Comma 38 3 8" xfId="2471" xr:uid="{00000000-0005-0000-0000-00001C0D0000}"/>
    <cellStyle name="Comma 38 4" xfId="672" xr:uid="{00000000-0005-0000-0000-00001D0D0000}"/>
    <cellStyle name="Comma 38 4 2" xfId="673" xr:uid="{00000000-0005-0000-0000-00001E0D0000}"/>
    <cellStyle name="Comma 38 4 2 2" xfId="1943" xr:uid="{00000000-0005-0000-0000-00001F0D0000}"/>
    <cellStyle name="Comma 38 4 2 2 2" xfId="4851" xr:uid="{00000000-0005-0000-0000-0000200D0000}"/>
    <cellStyle name="Comma 38 4 2 3" xfId="4852" xr:uid="{00000000-0005-0000-0000-0000210D0000}"/>
    <cellStyle name="Comma 38 4 2 4" xfId="3103" xr:uid="{00000000-0005-0000-0000-0000220D0000}"/>
    <cellStyle name="Comma 38 4 3" xfId="1368" xr:uid="{00000000-0005-0000-0000-0000230D0000}"/>
    <cellStyle name="Comma 38 4 3 2" xfId="4853" xr:uid="{00000000-0005-0000-0000-0000240D0000}"/>
    <cellStyle name="Comma 38 4 4" xfId="4854" xr:uid="{00000000-0005-0000-0000-0000250D0000}"/>
    <cellStyle name="Comma 38 4 5" xfId="2527" xr:uid="{00000000-0005-0000-0000-0000260D0000}"/>
    <cellStyle name="Comma 38 5" xfId="674" xr:uid="{00000000-0005-0000-0000-0000270D0000}"/>
    <cellStyle name="Comma 38 5 2" xfId="675" xr:uid="{00000000-0005-0000-0000-0000280D0000}"/>
    <cellStyle name="Comma 38 5 2 2" xfId="2078" xr:uid="{00000000-0005-0000-0000-0000290D0000}"/>
    <cellStyle name="Comma 38 5 2 2 2" xfId="4855" xr:uid="{00000000-0005-0000-0000-00002A0D0000}"/>
    <cellStyle name="Comma 38 5 2 3" xfId="4856" xr:uid="{00000000-0005-0000-0000-00002B0D0000}"/>
    <cellStyle name="Comma 38 5 2 4" xfId="3238" xr:uid="{00000000-0005-0000-0000-00002C0D0000}"/>
    <cellStyle name="Comma 38 5 3" xfId="1504" xr:uid="{00000000-0005-0000-0000-00002D0D0000}"/>
    <cellStyle name="Comma 38 5 3 2" xfId="4857" xr:uid="{00000000-0005-0000-0000-00002E0D0000}"/>
    <cellStyle name="Comma 38 5 4" xfId="4858" xr:uid="{00000000-0005-0000-0000-00002F0D0000}"/>
    <cellStyle name="Comma 38 5 5" xfId="2663" xr:uid="{00000000-0005-0000-0000-0000300D0000}"/>
    <cellStyle name="Comma 38 6" xfId="676" xr:uid="{00000000-0005-0000-0000-0000310D0000}"/>
    <cellStyle name="Comma 38 6 2" xfId="677" xr:uid="{00000000-0005-0000-0000-0000320D0000}"/>
    <cellStyle name="Comma 38 6 2 2" xfId="2224" xr:uid="{00000000-0005-0000-0000-0000330D0000}"/>
    <cellStyle name="Comma 38 6 2 2 2" xfId="4859" xr:uid="{00000000-0005-0000-0000-0000340D0000}"/>
    <cellStyle name="Comma 38 6 2 3" xfId="4860" xr:uid="{00000000-0005-0000-0000-0000350D0000}"/>
    <cellStyle name="Comma 38 6 2 4" xfId="3384" xr:uid="{00000000-0005-0000-0000-0000360D0000}"/>
    <cellStyle name="Comma 38 6 3" xfId="1650" xr:uid="{00000000-0005-0000-0000-0000370D0000}"/>
    <cellStyle name="Comma 38 6 3 2" xfId="4861" xr:uid="{00000000-0005-0000-0000-0000380D0000}"/>
    <cellStyle name="Comma 38 6 4" xfId="4862" xr:uid="{00000000-0005-0000-0000-0000390D0000}"/>
    <cellStyle name="Comma 38 6 5" xfId="2809" xr:uid="{00000000-0005-0000-0000-00003A0D0000}"/>
    <cellStyle name="Comma 38 7" xfId="678" xr:uid="{00000000-0005-0000-0000-00003B0D0000}"/>
    <cellStyle name="Comma 38 7 2" xfId="1799" xr:uid="{00000000-0005-0000-0000-00003C0D0000}"/>
    <cellStyle name="Comma 38 7 2 2" xfId="4863" xr:uid="{00000000-0005-0000-0000-00003D0D0000}"/>
    <cellStyle name="Comma 38 7 3" xfId="4864" xr:uid="{00000000-0005-0000-0000-00003E0D0000}"/>
    <cellStyle name="Comma 38 7 4" xfId="2959" xr:uid="{00000000-0005-0000-0000-00003F0D0000}"/>
    <cellStyle name="Comma 38 8" xfId="1224" xr:uid="{00000000-0005-0000-0000-0000400D0000}"/>
    <cellStyle name="Comma 38 8 2" xfId="4865" xr:uid="{00000000-0005-0000-0000-0000410D0000}"/>
    <cellStyle name="Comma 38 9" xfId="4866" xr:uid="{00000000-0005-0000-0000-0000420D0000}"/>
    <cellStyle name="Comma 39" xfId="679" xr:uid="{00000000-0005-0000-0000-0000430D0000}"/>
    <cellStyle name="Comma 39 10" xfId="2384" xr:uid="{00000000-0005-0000-0000-0000440D0000}"/>
    <cellStyle name="Comma 39 2" xfId="680" xr:uid="{00000000-0005-0000-0000-0000450D0000}"/>
    <cellStyle name="Comma 39 2 2" xfId="681" xr:uid="{00000000-0005-0000-0000-0000460D0000}"/>
    <cellStyle name="Comma 39 2 2 2" xfId="682" xr:uid="{00000000-0005-0000-0000-0000470D0000}"/>
    <cellStyle name="Comma 39 2 2 2 2" xfId="1990" xr:uid="{00000000-0005-0000-0000-0000480D0000}"/>
    <cellStyle name="Comma 39 2 2 2 2 2" xfId="4867" xr:uid="{00000000-0005-0000-0000-0000490D0000}"/>
    <cellStyle name="Comma 39 2 2 2 3" xfId="4868" xr:uid="{00000000-0005-0000-0000-00004A0D0000}"/>
    <cellStyle name="Comma 39 2 2 2 4" xfId="3150" xr:uid="{00000000-0005-0000-0000-00004B0D0000}"/>
    <cellStyle name="Comma 39 2 2 3" xfId="1416" xr:uid="{00000000-0005-0000-0000-00004C0D0000}"/>
    <cellStyle name="Comma 39 2 2 3 2" xfId="4869" xr:uid="{00000000-0005-0000-0000-00004D0D0000}"/>
    <cellStyle name="Comma 39 2 2 4" xfId="4870" xr:uid="{00000000-0005-0000-0000-00004E0D0000}"/>
    <cellStyle name="Comma 39 2 2 5" xfId="2575" xr:uid="{00000000-0005-0000-0000-00004F0D0000}"/>
    <cellStyle name="Comma 39 2 3" xfId="683" xr:uid="{00000000-0005-0000-0000-0000500D0000}"/>
    <cellStyle name="Comma 39 2 3 2" xfId="684" xr:uid="{00000000-0005-0000-0000-0000510D0000}"/>
    <cellStyle name="Comma 39 2 3 2 2" xfId="2126" xr:uid="{00000000-0005-0000-0000-0000520D0000}"/>
    <cellStyle name="Comma 39 2 3 2 2 2" xfId="4871" xr:uid="{00000000-0005-0000-0000-0000530D0000}"/>
    <cellStyle name="Comma 39 2 3 2 3" xfId="4872" xr:uid="{00000000-0005-0000-0000-0000540D0000}"/>
    <cellStyle name="Comma 39 2 3 2 4" xfId="3286" xr:uid="{00000000-0005-0000-0000-0000550D0000}"/>
    <cellStyle name="Comma 39 2 3 3" xfId="1552" xr:uid="{00000000-0005-0000-0000-0000560D0000}"/>
    <cellStyle name="Comma 39 2 3 3 2" xfId="4873" xr:uid="{00000000-0005-0000-0000-0000570D0000}"/>
    <cellStyle name="Comma 39 2 3 4" xfId="4874" xr:uid="{00000000-0005-0000-0000-0000580D0000}"/>
    <cellStyle name="Comma 39 2 3 5" xfId="2711" xr:uid="{00000000-0005-0000-0000-0000590D0000}"/>
    <cellStyle name="Comma 39 2 4" xfId="685" xr:uid="{00000000-0005-0000-0000-00005A0D0000}"/>
    <cellStyle name="Comma 39 2 4 2" xfId="686" xr:uid="{00000000-0005-0000-0000-00005B0D0000}"/>
    <cellStyle name="Comma 39 2 4 2 2" xfId="2272" xr:uid="{00000000-0005-0000-0000-00005C0D0000}"/>
    <cellStyle name="Comma 39 2 4 2 2 2" xfId="4875" xr:uid="{00000000-0005-0000-0000-00005D0D0000}"/>
    <cellStyle name="Comma 39 2 4 2 3" xfId="4876" xr:uid="{00000000-0005-0000-0000-00005E0D0000}"/>
    <cellStyle name="Comma 39 2 4 2 4" xfId="3432" xr:uid="{00000000-0005-0000-0000-00005F0D0000}"/>
    <cellStyle name="Comma 39 2 4 3" xfId="1698" xr:uid="{00000000-0005-0000-0000-0000600D0000}"/>
    <cellStyle name="Comma 39 2 4 3 2" xfId="4877" xr:uid="{00000000-0005-0000-0000-0000610D0000}"/>
    <cellStyle name="Comma 39 2 4 4" xfId="4878" xr:uid="{00000000-0005-0000-0000-0000620D0000}"/>
    <cellStyle name="Comma 39 2 4 5" xfId="2857" xr:uid="{00000000-0005-0000-0000-0000630D0000}"/>
    <cellStyle name="Comma 39 2 5" xfId="687" xr:uid="{00000000-0005-0000-0000-0000640D0000}"/>
    <cellStyle name="Comma 39 2 5 2" xfId="1847" xr:uid="{00000000-0005-0000-0000-0000650D0000}"/>
    <cellStyle name="Comma 39 2 5 2 2" xfId="4879" xr:uid="{00000000-0005-0000-0000-0000660D0000}"/>
    <cellStyle name="Comma 39 2 5 3" xfId="4880" xr:uid="{00000000-0005-0000-0000-0000670D0000}"/>
    <cellStyle name="Comma 39 2 5 4" xfId="3007" xr:uid="{00000000-0005-0000-0000-0000680D0000}"/>
    <cellStyle name="Comma 39 2 6" xfId="1272" xr:uid="{00000000-0005-0000-0000-0000690D0000}"/>
    <cellStyle name="Comma 39 2 6 2" xfId="4881" xr:uid="{00000000-0005-0000-0000-00006A0D0000}"/>
    <cellStyle name="Comma 39 2 7" xfId="4882" xr:uid="{00000000-0005-0000-0000-00006B0D0000}"/>
    <cellStyle name="Comma 39 2 8" xfId="2431" xr:uid="{00000000-0005-0000-0000-00006C0D0000}"/>
    <cellStyle name="Comma 39 3" xfId="688" xr:uid="{00000000-0005-0000-0000-00006D0D0000}"/>
    <cellStyle name="Comma 39 3 2" xfId="689" xr:uid="{00000000-0005-0000-0000-00006E0D0000}"/>
    <cellStyle name="Comma 39 3 2 2" xfId="690" xr:uid="{00000000-0005-0000-0000-00006F0D0000}"/>
    <cellStyle name="Comma 39 3 2 2 2" xfId="2031" xr:uid="{00000000-0005-0000-0000-0000700D0000}"/>
    <cellStyle name="Comma 39 3 2 2 2 2" xfId="4883" xr:uid="{00000000-0005-0000-0000-0000710D0000}"/>
    <cellStyle name="Comma 39 3 2 2 3" xfId="4884" xr:uid="{00000000-0005-0000-0000-0000720D0000}"/>
    <cellStyle name="Comma 39 3 2 2 4" xfId="3191" xr:uid="{00000000-0005-0000-0000-0000730D0000}"/>
    <cellStyle name="Comma 39 3 2 3" xfId="1457" xr:uid="{00000000-0005-0000-0000-0000740D0000}"/>
    <cellStyle name="Comma 39 3 2 3 2" xfId="4885" xr:uid="{00000000-0005-0000-0000-0000750D0000}"/>
    <cellStyle name="Comma 39 3 2 4" xfId="4886" xr:uid="{00000000-0005-0000-0000-0000760D0000}"/>
    <cellStyle name="Comma 39 3 2 5" xfId="2616" xr:uid="{00000000-0005-0000-0000-0000770D0000}"/>
    <cellStyle name="Comma 39 3 3" xfId="691" xr:uid="{00000000-0005-0000-0000-0000780D0000}"/>
    <cellStyle name="Comma 39 3 3 2" xfId="692" xr:uid="{00000000-0005-0000-0000-0000790D0000}"/>
    <cellStyle name="Comma 39 3 3 2 2" xfId="2167" xr:uid="{00000000-0005-0000-0000-00007A0D0000}"/>
    <cellStyle name="Comma 39 3 3 2 2 2" xfId="4887" xr:uid="{00000000-0005-0000-0000-00007B0D0000}"/>
    <cellStyle name="Comma 39 3 3 2 3" xfId="4888" xr:uid="{00000000-0005-0000-0000-00007C0D0000}"/>
    <cellStyle name="Comma 39 3 3 2 4" xfId="3327" xr:uid="{00000000-0005-0000-0000-00007D0D0000}"/>
    <cellStyle name="Comma 39 3 3 3" xfId="1593" xr:uid="{00000000-0005-0000-0000-00007E0D0000}"/>
    <cellStyle name="Comma 39 3 3 3 2" xfId="4889" xr:uid="{00000000-0005-0000-0000-00007F0D0000}"/>
    <cellStyle name="Comma 39 3 3 4" xfId="4890" xr:uid="{00000000-0005-0000-0000-0000800D0000}"/>
    <cellStyle name="Comma 39 3 3 5" xfId="2752" xr:uid="{00000000-0005-0000-0000-0000810D0000}"/>
    <cellStyle name="Comma 39 3 4" xfId="693" xr:uid="{00000000-0005-0000-0000-0000820D0000}"/>
    <cellStyle name="Comma 39 3 4 2" xfId="694" xr:uid="{00000000-0005-0000-0000-0000830D0000}"/>
    <cellStyle name="Comma 39 3 4 2 2" xfId="2313" xr:uid="{00000000-0005-0000-0000-0000840D0000}"/>
    <cellStyle name="Comma 39 3 4 2 2 2" xfId="4891" xr:uid="{00000000-0005-0000-0000-0000850D0000}"/>
    <cellStyle name="Comma 39 3 4 2 3" xfId="4892" xr:uid="{00000000-0005-0000-0000-0000860D0000}"/>
    <cellStyle name="Comma 39 3 4 2 4" xfId="3473" xr:uid="{00000000-0005-0000-0000-0000870D0000}"/>
    <cellStyle name="Comma 39 3 4 3" xfId="1739" xr:uid="{00000000-0005-0000-0000-0000880D0000}"/>
    <cellStyle name="Comma 39 3 4 3 2" xfId="4893" xr:uid="{00000000-0005-0000-0000-0000890D0000}"/>
    <cellStyle name="Comma 39 3 4 4" xfId="4894" xr:uid="{00000000-0005-0000-0000-00008A0D0000}"/>
    <cellStyle name="Comma 39 3 4 5" xfId="2898" xr:uid="{00000000-0005-0000-0000-00008B0D0000}"/>
    <cellStyle name="Comma 39 3 5" xfId="695" xr:uid="{00000000-0005-0000-0000-00008C0D0000}"/>
    <cellStyle name="Comma 39 3 5 2" xfId="1888" xr:uid="{00000000-0005-0000-0000-00008D0D0000}"/>
    <cellStyle name="Comma 39 3 5 2 2" xfId="4895" xr:uid="{00000000-0005-0000-0000-00008E0D0000}"/>
    <cellStyle name="Comma 39 3 5 3" xfId="4896" xr:uid="{00000000-0005-0000-0000-00008F0D0000}"/>
    <cellStyle name="Comma 39 3 5 4" xfId="3048" xr:uid="{00000000-0005-0000-0000-0000900D0000}"/>
    <cellStyle name="Comma 39 3 6" xfId="1313" xr:uid="{00000000-0005-0000-0000-0000910D0000}"/>
    <cellStyle name="Comma 39 3 6 2" xfId="4897" xr:uid="{00000000-0005-0000-0000-0000920D0000}"/>
    <cellStyle name="Comma 39 3 7" xfId="4898" xr:uid="{00000000-0005-0000-0000-0000930D0000}"/>
    <cellStyle name="Comma 39 3 8" xfId="2472" xr:uid="{00000000-0005-0000-0000-0000940D0000}"/>
    <cellStyle name="Comma 39 4" xfId="696" xr:uid="{00000000-0005-0000-0000-0000950D0000}"/>
    <cellStyle name="Comma 39 4 2" xfId="697" xr:uid="{00000000-0005-0000-0000-0000960D0000}"/>
    <cellStyle name="Comma 39 4 2 2" xfId="1944" xr:uid="{00000000-0005-0000-0000-0000970D0000}"/>
    <cellStyle name="Comma 39 4 2 2 2" xfId="4899" xr:uid="{00000000-0005-0000-0000-0000980D0000}"/>
    <cellStyle name="Comma 39 4 2 3" xfId="4900" xr:uid="{00000000-0005-0000-0000-0000990D0000}"/>
    <cellStyle name="Comma 39 4 2 4" xfId="3104" xr:uid="{00000000-0005-0000-0000-00009A0D0000}"/>
    <cellStyle name="Comma 39 4 3" xfId="1369" xr:uid="{00000000-0005-0000-0000-00009B0D0000}"/>
    <cellStyle name="Comma 39 4 3 2" xfId="4901" xr:uid="{00000000-0005-0000-0000-00009C0D0000}"/>
    <cellStyle name="Comma 39 4 4" xfId="4902" xr:uid="{00000000-0005-0000-0000-00009D0D0000}"/>
    <cellStyle name="Comma 39 4 5" xfId="2528" xr:uid="{00000000-0005-0000-0000-00009E0D0000}"/>
    <cellStyle name="Comma 39 5" xfId="698" xr:uid="{00000000-0005-0000-0000-00009F0D0000}"/>
    <cellStyle name="Comma 39 5 2" xfId="699" xr:uid="{00000000-0005-0000-0000-0000A00D0000}"/>
    <cellStyle name="Comma 39 5 2 2" xfId="2079" xr:uid="{00000000-0005-0000-0000-0000A10D0000}"/>
    <cellStyle name="Comma 39 5 2 2 2" xfId="4903" xr:uid="{00000000-0005-0000-0000-0000A20D0000}"/>
    <cellStyle name="Comma 39 5 2 3" xfId="4904" xr:uid="{00000000-0005-0000-0000-0000A30D0000}"/>
    <cellStyle name="Comma 39 5 2 4" xfId="3239" xr:uid="{00000000-0005-0000-0000-0000A40D0000}"/>
    <cellStyle name="Comma 39 5 3" xfId="1505" xr:uid="{00000000-0005-0000-0000-0000A50D0000}"/>
    <cellStyle name="Comma 39 5 3 2" xfId="4905" xr:uid="{00000000-0005-0000-0000-0000A60D0000}"/>
    <cellStyle name="Comma 39 5 4" xfId="4906" xr:uid="{00000000-0005-0000-0000-0000A70D0000}"/>
    <cellStyle name="Comma 39 5 5" xfId="2664" xr:uid="{00000000-0005-0000-0000-0000A80D0000}"/>
    <cellStyle name="Comma 39 6" xfId="700" xr:uid="{00000000-0005-0000-0000-0000A90D0000}"/>
    <cellStyle name="Comma 39 6 2" xfId="701" xr:uid="{00000000-0005-0000-0000-0000AA0D0000}"/>
    <cellStyle name="Comma 39 6 2 2" xfId="2225" xr:uid="{00000000-0005-0000-0000-0000AB0D0000}"/>
    <cellStyle name="Comma 39 6 2 2 2" xfId="4907" xr:uid="{00000000-0005-0000-0000-0000AC0D0000}"/>
    <cellStyle name="Comma 39 6 2 3" xfId="4908" xr:uid="{00000000-0005-0000-0000-0000AD0D0000}"/>
    <cellStyle name="Comma 39 6 2 4" xfId="3385" xr:uid="{00000000-0005-0000-0000-0000AE0D0000}"/>
    <cellStyle name="Comma 39 6 3" xfId="1651" xr:uid="{00000000-0005-0000-0000-0000AF0D0000}"/>
    <cellStyle name="Comma 39 6 3 2" xfId="4909" xr:uid="{00000000-0005-0000-0000-0000B00D0000}"/>
    <cellStyle name="Comma 39 6 4" xfId="4910" xr:uid="{00000000-0005-0000-0000-0000B10D0000}"/>
    <cellStyle name="Comma 39 6 5" xfId="2810" xr:uid="{00000000-0005-0000-0000-0000B20D0000}"/>
    <cellStyle name="Comma 39 7" xfId="702" xr:uid="{00000000-0005-0000-0000-0000B30D0000}"/>
    <cellStyle name="Comma 39 7 2" xfId="1800" xr:uid="{00000000-0005-0000-0000-0000B40D0000}"/>
    <cellStyle name="Comma 39 7 2 2" xfId="4911" xr:uid="{00000000-0005-0000-0000-0000B50D0000}"/>
    <cellStyle name="Comma 39 7 3" xfId="4912" xr:uid="{00000000-0005-0000-0000-0000B60D0000}"/>
    <cellStyle name="Comma 39 7 4" xfId="2960" xr:uid="{00000000-0005-0000-0000-0000B70D0000}"/>
    <cellStyle name="Comma 39 8" xfId="1225" xr:uid="{00000000-0005-0000-0000-0000B80D0000}"/>
    <cellStyle name="Comma 39 8 2" xfId="4913" xr:uid="{00000000-0005-0000-0000-0000B90D0000}"/>
    <cellStyle name="Comma 39 9" xfId="4914" xr:uid="{00000000-0005-0000-0000-0000BA0D0000}"/>
    <cellStyle name="Comma 4" xfId="703" xr:uid="{00000000-0005-0000-0000-0000BB0D0000}"/>
    <cellStyle name="Comma 4 10" xfId="2358" xr:uid="{00000000-0005-0000-0000-0000BC0D0000}"/>
    <cellStyle name="Comma 4 2" xfId="704" xr:uid="{00000000-0005-0000-0000-0000BD0D0000}"/>
    <cellStyle name="Comma 4 2 2" xfId="705" xr:uid="{00000000-0005-0000-0000-0000BE0D0000}"/>
    <cellStyle name="Comma 4 2 2 2" xfId="706" xr:uid="{00000000-0005-0000-0000-0000BF0D0000}"/>
    <cellStyle name="Comma 4 2 2 2 2" xfId="1964" xr:uid="{00000000-0005-0000-0000-0000C00D0000}"/>
    <cellStyle name="Comma 4 2 2 2 2 2" xfId="4915" xr:uid="{00000000-0005-0000-0000-0000C10D0000}"/>
    <cellStyle name="Comma 4 2 2 2 3" xfId="4916" xr:uid="{00000000-0005-0000-0000-0000C20D0000}"/>
    <cellStyle name="Comma 4 2 2 2 4" xfId="3124" xr:uid="{00000000-0005-0000-0000-0000C30D0000}"/>
    <cellStyle name="Comma 4 2 2 3" xfId="1390" xr:uid="{00000000-0005-0000-0000-0000C40D0000}"/>
    <cellStyle name="Comma 4 2 2 3 2" xfId="4917" xr:uid="{00000000-0005-0000-0000-0000C50D0000}"/>
    <cellStyle name="Comma 4 2 2 4" xfId="4918" xr:uid="{00000000-0005-0000-0000-0000C60D0000}"/>
    <cellStyle name="Comma 4 2 2 5" xfId="2549" xr:uid="{00000000-0005-0000-0000-0000C70D0000}"/>
    <cellStyle name="Comma 4 2 3" xfId="707" xr:uid="{00000000-0005-0000-0000-0000C80D0000}"/>
    <cellStyle name="Comma 4 2 3 2" xfId="708" xr:uid="{00000000-0005-0000-0000-0000C90D0000}"/>
    <cellStyle name="Comma 4 2 3 2 2" xfId="2100" xr:uid="{00000000-0005-0000-0000-0000CA0D0000}"/>
    <cellStyle name="Comma 4 2 3 2 2 2" xfId="4919" xr:uid="{00000000-0005-0000-0000-0000CB0D0000}"/>
    <cellStyle name="Comma 4 2 3 2 3" xfId="4920" xr:uid="{00000000-0005-0000-0000-0000CC0D0000}"/>
    <cellStyle name="Comma 4 2 3 2 4" xfId="3260" xr:uid="{00000000-0005-0000-0000-0000CD0D0000}"/>
    <cellStyle name="Comma 4 2 3 3" xfId="1526" xr:uid="{00000000-0005-0000-0000-0000CE0D0000}"/>
    <cellStyle name="Comma 4 2 3 3 2" xfId="4921" xr:uid="{00000000-0005-0000-0000-0000CF0D0000}"/>
    <cellStyle name="Comma 4 2 3 4" xfId="4922" xr:uid="{00000000-0005-0000-0000-0000D00D0000}"/>
    <cellStyle name="Comma 4 2 3 5" xfId="2685" xr:uid="{00000000-0005-0000-0000-0000D10D0000}"/>
    <cellStyle name="Comma 4 2 4" xfId="709" xr:uid="{00000000-0005-0000-0000-0000D20D0000}"/>
    <cellStyle name="Comma 4 2 4 2" xfId="710" xr:uid="{00000000-0005-0000-0000-0000D30D0000}"/>
    <cellStyle name="Comma 4 2 4 2 2" xfId="2246" xr:uid="{00000000-0005-0000-0000-0000D40D0000}"/>
    <cellStyle name="Comma 4 2 4 2 2 2" xfId="4923" xr:uid="{00000000-0005-0000-0000-0000D50D0000}"/>
    <cellStyle name="Comma 4 2 4 2 3" xfId="4924" xr:uid="{00000000-0005-0000-0000-0000D60D0000}"/>
    <cellStyle name="Comma 4 2 4 2 4" xfId="3406" xr:uid="{00000000-0005-0000-0000-0000D70D0000}"/>
    <cellStyle name="Comma 4 2 4 3" xfId="1672" xr:uid="{00000000-0005-0000-0000-0000D80D0000}"/>
    <cellStyle name="Comma 4 2 4 3 2" xfId="4925" xr:uid="{00000000-0005-0000-0000-0000D90D0000}"/>
    <cellStyle name="Comma 4 2 4 4" xfId="4926" xr:uid="{00000000-0005-0000-0000-0000DA0D0000}"/>
    <cellStyle name="Comma 4 2 4 5" xfId="2831" xr:uid="{00000000-0005-0000-0000-0000DB0D0000}"/>
    <cellStyle name="Comma 4 2 5" xfId="711" xr:uid="{00000000-0005-0000-0000-0000DC0D0000}"/>
    <cellStyle name="Comma 4 2 5 2" xfId="1821" xr:uid="{00000000-0005-0000-0000-0000DD0D0000}"/>
    <cellStyle name="Comma 4 2 5 2 2" xfId="4927" xr:uid="{00000000-0005-0000-0000-0000DE0D0000}"/>
    <cellStyle name="Comma 4 2 5 3" xfId="4928" xr:uid="{00000000-0005-0000-0000-0000DF0D0000}"/>
    <cellStyle name="Comma 4 2 5 4" xfId="2981" xr:uid="{00000000-0005-0000-0000-0000E00D0000}"/>
    <cellStyle name="Comma 4 2 6" xfId="1246" xr:uid="{00000000-0005-0000-0000-0000E10D0000}"/>
    <cellStyle name="Comma 4 2 6 2" xfId="4929" xr:uid="{00000000-0005-0000-0000-0000E20D0000}"/>
    <cellStyle name="Comma 4 2 7" xfId="4930" xr:uid="{00000000-0005-0000-0000-0000E30D0000}"/>
    <cellStyle name="Comma 4 2 8" xfId="2405" xr:uid="{00000000-0005-0000-0000-0000E40D0000}"/>
    <cellStyle name="Comma 4 3" xfId="712" xr:uid="{00000000-0005-0000-0000-0000E50D0000}"/>
    <cellStyle name="Comma 4 3 2" xfId="713" xr:uid="{00000000-0005-0000-0000-0000E60D0000}"/>
    <cellStyle name="Comma 4 3 2 2" xfId="714" xr:uid="{00000000-0005-0000-0000-0000E70D0000}"/>
    <cellStyle name="Comma 4 3 2 2 2" xfId="2032" xr:uid="{00000000-0005-0000-0000-0000E80D0000}"/>
    <cellStyle name="Comma 4 3 2 2 2 2" xfId="4931" xr:uid="{00000000-0005-0000-0000-0000E90D0000}"/>
    <cellStyle name="Comma 4 3 2 2 3" xfId="4932" xr:uid="{00000000-0005-0000-0000-0000EA0D0000}"/>
    <cellStyle name="Comma 4 3 2 2 4" xfId="3192" xr:uid="{00000000-0005-0000-0000-0000EB0D0000}"/>
    <cellStyle name="Comma 4 3 2 3" xfId="1458" xr:uid="{00000000-0005-0000-0000-0000EC0D0000}"/>
    <cellStyle name="Comma 4 3 2 3 2" xfId="4933" xr:uid="{00000000-0005-0000-0000-0000ED0D0000}"/>
    <cellStyle name="Comma 4 3 2 4" xfId="4934" xr:uid="{00000000-0005-0000-0000-0000EE0D0000}"/>
    <cellStyle name="Comma 4 3 2 5" xfId="2617" xr:uid="{00000000-0005-0000-0000-0000EF0D0000}"/>
    <cellStyle name="Comma 4 3 3" xfId="715" xr:uid="{00000000-0005-0000-0000-0000F00D0000}"/>
    <cellStyle name="Comma 4 3 3 2" xfId="716" xr:uid="{00000000-0005-0000-0000-0000F10D0000}"/>
    <cellStyle name="Comma 4 3 3 2 2" xfId="2168" xr:uid="{00000000-0005-0000-0000-0000F20D0000}"/>
    <cellStyle name="Comma 4 3 3 2 2 2" xfId="4935" xr:uid="{00000000-0005-0000-0000-0000F30D0000}"/>
    <cellStyle name="Comma 4 3 3 2 3" xfId="4936" xr:uid="{00000000-0005-0000-0000-0000F40D0000}"/>
    <cellStyle name="Comma 4 3 3 2 4" xfId="3328" xr:uid="{00000000-0005-0000-0000-0000F50D0000}"/>
    <cellStyle name="Comma 4 3 3 3" xfId="1594" xr:uid="{00000000-0005-0000-0000-0000F60D0000}"/>
    <cellStyle name="Comma 4 3 3 3 2" xfId="4937" xr:uid="{00000000-0005-0000-0000-0000F70D0000}"/>
    <cellStyle name="Comma 4 3 3 4" xfId="4938" xr:uid="{00000000-0005-0000-0000-0000F80D0000}"/>
    <cellStyle name="Comma 4 3 3 5" xfId="2753" xr:uid="{00000000-0005-0000-0000-0000F90D0000}"/>
    <cellStyle name="Comma 4 3 4" xfId="717" xr:uid="{00000000-0005-0000-0000-0000FA0D0000}"/>
    <cellStyle name="Comma 4 3 4 2" xfId="718" xr:uid="{00000000-0005-0000-0000-0000FB0D0000}"/>
    <cellStyle name="Comma 4 3 4 2 2" xfId="2314" xr:uid="{00000000-0005-0000-0000-0000FC0D0000}"/>
    <cellStyle name="Comma 4 3 4 2 2 2" xfId="4939" xr:uid="{00000000-0005-0000-0000-0000FD0D0000}"/>
    <cellStyle name="Comma 4 3 4 2 3" xfId="4940" xr:uid="{00000000-0005-0000-0000-0000FE0D0000}"/>
    <cellStyle name="Comma 4 3 4 2 4" xfId="3474" xr:uid="{00000000-0005-0000-0000-0000FF0D0000}"/>
    <cellStyle name="Comma 4 3 4 3" xfId="1740" xr:uid="{00000000-0005-0000-0000-0000000E0000}"/>
    <cellStyle name="Comma 4 3 4 3 2" xfId="4941" xr:uid="{00000000-0005-0000-0000-0000010E0000}"/>
    <cellStyle name="Comma 4 3 4 4" xfId="4942" xr:uid="{00000000-0005-0000-0000-0000020E0000}"/>
    <cellStyle name="Comma 4 3 4 5" xfId="2899" xr:uid="{00000000-0005-0000-0000-0000030E0000}"/>
    <cellStyle name="Comma 4 3 5" xfId="719" xr:uid="{00000000-0005-0000-0000-0000040E0000}"/>
    <cellStyle name="Comma 4 3 5 2" xfId="1889" xr:uid="{00000000-0005-0000-0000-0000050E0000}"/>
    <cellStyle name="Comma 4 3 5 2 2" xfId="4943" xr:uid="{00000000-0005-0000-0000-0000060E0000}"/>
    <cellStyle name="Comma 4 3 5 3" xfId="4944" xr:uid="{00000000-0005-0000-0000-0000070E0000}"/>
    <cellStyle name="Comma 4 3 5 4" xfId="3049" xr:uid="{00000000-0005-0000-0000-0000080E0000}"/>
    <cellStyle name="Comma 4 3 6" xfId="1314" xr:uid="{00000000-0005-0000-0000-0000090E0000}"/>
    <cellStyle name="Comma 4 3 6 2" xfId="4945" xr:uid="{00000000-0005-0000-0000-00000A0E0000}"/>
    <cellStyle name="Comma 4 3 7" xfId="4946" xr:uid="{00000000-0005-0000-0000-00000B0E0000}"/>
    <cellStyle name="Comma 4 3 8" xfId="2473" xr:uid="{00000000-0005-0000-0000-00000C0E0000}"/>
    <cellStyle name="Comma 4 4" xfId="720" xr:uid="{00000000-0005-0000-0000-00000D0E0000}"/>
    <cellStyle name="Comma 4 4 2" xfId="721" xr:uid="{00000000-0005-0000-0000-00000E0E0000}"/>
    <cellStyle name="Comma 4 4 2 2" xfId="1918" xr:uid="{00000000-0005-0000-0000-00000F0E0000}"/>
    <cellStyle name="Comma 4 4 2 2 2" xfId="4947" xr:uid="{00000000-0005-0000-0000-0000100E0000}"/>
    <cellStyle name="Comma 4 4 2 3" xfId="4948" xr:uid="{00000000-0005-0000-0000-0000110E0000}"/>
    <cellStyle name="Comma 4 4 2 4" xfId="3078" xr:uid="{00000000-0005-0000-0000-0000120E0000}"/>
    <cellStyle name="Comma 4 4 3" xfId="1343" xr:uid="{00000000-0005-0000-0000-0000130E0000}"/>
    <cellStyle name="Comma 4 4 3 2" xfId="4949" xr:uid="{00000000-0005-0000-0000-0000140E0000}"/>
    <cellStyle name="Comma 4 4 4" xfId="4950" xr:uid="{00000000-0005-0000-0000-0000150E0000}"/>
    <cellStyle name="Comma 4 4 5" xfId="2502" xr:uid="{00000000-0005-0000-0000-0000160E0000}"/>
    <cellStyle name="Comma 4 5" xfId="722" xr:uid="{00000000-0005-0000-0000-0000170E0000}"/>
    <cellStyle name="Comma 4 5 2" xfId="723" xr:uid="{00000000-0005-0000-0000-0000180E0000}"/>
    <cellStyle name="Comma 4 5 2 2" xfId="2053" xr:uid="{00000000-0005-0000-0000-0000190E0000}"/>
    <cellStyle name="Comma 4 5 2 2 2" xfId="4951" xr:uid="{00000000-0005-0000-0000-00001A0E0000}"/>
    <cellStyle name="Comma 4 5 2 3" xfId="4952" xr:uid="{00000000-0005-0000-0000-00001B0E0000}"/>
    <cellStyle name="Comma 4 5 2 4" xfId="3213" xr:uid="{00000000-0005-0000-0000-00001C0E0000}"/>
    <cellStyle name="Comma 4 5 3" xfId="1479" xr:uid="{00000000-0005-0000-0000-00001D0E0000}"/>
    <cellStyle name="Comma 4 5 3 2" xfId="4953" xr:uid="{00000000-0005-0000-0000-00001E0E0000}"/>
    <cellStyle name="Comma 4 5 4" xfId="4954" xr:uid="{00000000-0005-0000-0000-00001F0E0000}"/>
    <cellStyle name="Comma 4 5 5" xfId="2638" xr:uid="{00000000-0005-0000-0000-0000200E0000}"/>
    <cellStyle name="Comma 4 6" xfId="724" xr:uid="{00000000-0005-0000-0000-0000210E0000}"/>
    <cellStyle name="Comma 4 6 2" xfId="725" xr:uid="{00000000-0005-0000-0000-0000220E0000}"/>
    <cellStyle name="Comma 4 6 2 2" xfId="2199" xr:uid="{00000000-0005-0000-0000-0000230E0000}"/>
    <cellStyle name="Comma 4 6 2 2 2" xfId="4955" xr:uid="{00000000-0005-0000-0000-0000240E0000}"/>
    <cellStyle name="Comma 4 6 2 3" xfId="4956" xr:uid="{00000000-0005-0000-0000-0000250E0000}"/>
    <cellStyle name="Comma 4 6 2 4" xfId="3359" xr:uid="{00000000-0005-0000-0000-0000260E0000}"/>
    <cellStyle name="Comma 4 6 3" xfId="1625" xr:uid="{00000000-0005-0000-0000-0000270E0000}"/>
    <cellStyle name="Comma 4 6 3 2" xfId="4957" xr:uid="{00000000-0005-0000-0000-0000280E0000}"/>
    <cellStyle name="Comma 4 6 4" xfId="4958" xr:uid="{00000000-0005-0000-0000-0000290E0000}"/>
    <cellStyle name="Comma 4 6 5" xfId="2784" xr:uid="{00000000-0005-0000-0000-00002A0E0000}"/>
    <cellStyle name="Comma 4 7" xfId="726" xr:uid="{00000000-0005-0000-0000-00002B0E0000}"/>
    <cellStyle name="Comma 4 7 2" xfId="1774" xr:uid="{00000000-0005-0000-0000-00002C0E0000}"/>
    <cellStyle name="Comma 4 7 2 2" xfId="4959" xr:uid="{00000000-0005-0000-0000-00002D0E0000}"/>
    <cellStyle name="Comma 4 7 3" xfId="4960" xr:uid="{00000000-0005-0000-0000-00002E0E0000}"/>
    <cellStyle name="Comma 4 7 4" xfId="2934" xr:uid="{00000000-0005-0000-0000-00002F0E0000}"/>
    <cellStyle name="Comma 4 8" xfId="1199" xr:uid="{00000000-0005-0000-0000-0000300E0000}"/>
    <cellStyle name="Comma 4 8 2" xfId="4961" xr:uid="{00000000-0005-0000-0000-0000310E0000}"/>
    <cellStyle name="Comma 4 9" xfId="4962" xr:uid="{00000000-0005-0000-0000-0000320E0000}"/>
    <cellStyle name="Comma 40" xfId="727" xr:uid="{00000000-0005-0000-0000-0000330E0000}"/>
    <cellStyle name="Comma 40 2" xfId="4963" xr:uid="{00000000-0005-0000-0000-0000340E0000}"/>
    <cellStyle name="Comma 41" xfId="728" xr:uid="{00000000-0005-0000-0000-0000350E0000}"/>
    <cellStyle name="Comma 41 2" xfId="729" xr:uid="{00000000-0005-0000-0000-0000360E0000}"/>
    <cellStyle name="Comma 41 2 2" xfId="1913" xr:uid="{00000000-0005-0000-0000-0000370E0000}"/>
    <cellStyle name="Comma 41 2 2 2" xfId="4964" xr:uid="{00000000-0005-0000-0000-0000380E0000}"/>
    <cellStyle name="Comma 41 2 3" xfId="4965" xr:uid="{00000000-0005-0000-0000-0000390E0000}"/>
    <cellStyle name="Comma 41 2 4" xfId="3073" xr:uid="{00000000-0005-0000-0000-00003A0E0000}"/>
    <cellStyle name="Comma 41 3" xfId="1338" xr:uid="{00000000-0005-0000-0000-00003B0E0000}"/>
    <cellStyle name="Comma 41 3 2" xfId="4966" xr:uid="{00000000-0005-0000-0000-00003C0E0000}"/>
    <cellStyle name="Comma 41 4" xfId="4967" xr:uid="{00000000-0005-0000-0000-00003D0E0000}"/>
    <cellStyle name="Comma 41 5" xfId="2497" xr:uid="{00000000-0005-0000-0000-00003E0E0000}"/>
    <cellStyle name="Comma 42" xfId="730" xr:uid="{00000000-0005-0000-0000-00003F0E0000}"/>
    <cellStyle name="Comma 43" xfId="731" xr:uid="{00000000-0005-0000-0000-0000400E0000}"/>
    <cellStyle name="Comma 43 2" xfId="732" xr:uid="{00000000-0005-0000-0000-0000410E0000}"/>
    <cellStyle name="Comma 43 2 2" xfId="2194" xr:uid="{00000000-0005-0000-0000-0000420E0000}"/>
    <cellStyle name="Comma 43 2 2 2" xfId="4968" xr:uid="{00000000-0005-0000-0000-0000430E0000}"/>
    <cellStyle name="Comma 43 2 3" xfId="4969" xr:uid="{00000000-0005-0000-0000-0000440E0000}"/>
    <cellStyle name="Comma 43 2 4" xfId="3354" xr:uid="{00000000-0005-0000-0000-0000450E0000}"/>
    <cellStyle name="Comma 43 3" xfId="1620" xr:uid="{00000000-0005-0000-0000-0000460E0000}"/>
    <cellStyle name="Comma 43 3 2" xfId="4970" xr:uid="{00000000-0005-0000-0000-0000470E0000}"/>
    <cellStyle name="Comma 43 4" xfId="4971" xr:uid="{00000000-0005-0000-0000-0000480E0000}"/>
    <cellStyle name="Comma 43 5" xfId="2779" xr:uid="{00000000-0005-0000-0000-0000490E0000}"/>
    <cellStyle name="Comma 44" xfId="733" xr:uid="{00000000-0005-0000-0000-00004A0E0000}"/>
    <cellStyle name="Comma 45" xfId="734" xr:uid="{00000000-0005-0000-0000-00004B0E0000}"/>
    <cellStyle name="Comma 45 2" xfId="735" xr:uid="{00000000-0005-0000-0000-00004C0E0000}"/>
    <cellStyle name="Comma 45 2 2" xfId="2334" xr:uid="{00000000-0005-0000-0000-00004D0E0000}"/>
    <cellStyle name="Comma 45 2 2 2" xfId="4972" xr:uid="{00000000-0005-0000-0000-00004E0E0000}"/>
    <cellStyle name="Comma 45 2 3" xfId="4973" xr:uid="{00000000-0005-0000-0000-00004F0E0000}"/>
    <cellStyle name="Comma 45 2 4" xfId="3493" xr:uid="{00000000-0005-0000-0000-0000500E0000}"/>
    <cellStyle name="Comma 45 3" xfId="1763" xr:uid="{00000000-0005-0000-0000-0000510E0000}"/>
    <cellStyle name="Comma 45 3 2" xfId="4974" xr:uid="{00000000-0005-0000-0000-0000520E0000}"/>
    <cellStyle name="Comma 45 4" xfId="4975" xr:uid="{00000000-0005-0000-0000-0000530E0000}"/>
    <cellStyle name="Comma 45 5" xfId="2922" xr:uid="{00000000-0005-0000-0000-0000540E0000}"/>
    <cellStyle name="Comma 46" xfId="736" xr:uid="{00000000-0005-0000-0000-0000550E0000}"/>
    <cellStyle name="Comma 46 2" xfId="737" xr:uid="{00000000-0005-0000-0000-0000560E0000}"/>
    <cellStyle name="Comma 46 2 2" xfId="4976" xr:uid="{00000000-0005-0000-0000-0000570E0000}"/>
    <cellStyle name="Comma 46 3" xfId="2335" xr:uid="{00000000-0005-0000-0000-0000580E0000}"/>
    <cellStyle name="Comma 46 3 2" xfId="4977" xr:uid="{00000000-0005-0000-0000-0000590E0000}"/>
    <cellStyle name="Comma 46 4" xfId="4978" xr:uid="{00000000-0005-0000-0000-00005A0E0000}"/>
    <cellStyle name="Comma 47" xfId="738" xr:uid="{00000000-0005-0000-0000-00005B0E0000}"/>
    <cellStyle name="Comma 47 2" xfId="2347" xr:uid="{00000000-0005-0000-0000-00005C0E0000}"/>
    <cellStyle name="Comma 47 2 2" xfId="4979" xr:uid="{00000000-0005-0000-0000-00005D0E0000}"/>
    <cellStyle name="Comma 48" xfId="1190" xr:uid="{00000000-0005-0000-0000-00005E0E0000}"/>
    <cellStyle name="Comma 48 2" xfId="1769" xr:uid="{00000000-0005-0000-0000-00005F0E0000}"/>
    <cellStyle name="Comma 48 2 2" xfId="4980" xr:uid="{00000000-0005-0000-0000-0000600E0000}"/>
    <cellStyle name="Comma 48 3" xfId="4981" xr:uid="{00000000-0005-0000-0000-0000610E0000}"/>
    <cellStyle name="Comma 48 4" xfId="2929" xr:uid="{00000000-0005-0000-0000-0000620E0000}"/>
    <cellStyle name="Comma 49" xfId="2349" xr:uid="{00000000-0005-0000-0000-0000630E0000}"/>
    <cellStyle name="Comma 49 2" xfId="4982" xr:uid="{00000000-0005-0000-0000-0000640E0000}"/>
    <cellStyle name="Comma 49 3" xfId="3503" xr:uid="{00000000-0005-0000-0000-0000650E0000}"/>
    <cellStyle name="Comma 49 4" xfId="5871" xr:uid="{00000000-0005-0000-0000-0000660E0000}"/>
    <cellStyle name="Comma 5" xfId="739" xr:uid="{00000000-0005-0000-0000-0000670E0000}"/>
    <cellStyle name="Comma 5 10" xfId="2359" xr:uid="{00000000-0005-0000-0000-0000680E0000}"/>
    <cellStyle name="Comma 5 2" xfId="740" xr:uid="{00000000-0005-0000-0000-0000690E0000}"/>
    <cellStyle name="Comma 5 2 2" xfId="741" xr:uid="{00000000-0005-0000-0000-00006A0E0000}"/>
    <cellStyle name="Comma 5 2 2 2" xfId="742" xr:uid="{00000000-0005-0000-0000-00006B0E0000}"/>
    <cellStyle name="Comma 5 2 2 2 2" xfId="1965" xr:uid="{00000000-0005-0000-0000-00006C0E0000}"/>
    <cellStyle name="Comma 5 2 2 2 2 2" xfId="4983" xr:uid="{00000000-0005-0000-0000-00006D0E0000}"/>
    <cellStyle name="Comma 5 2 2 2 3" xfId="4984" xr:uid="{00000000-0005-0000-0000-00006E0E0000}"/>
    <cellStyle name="Comma 5 2 2 2 4" xfId="3125" xr:uid="{00000000-0005-0000-0000-00006F0E0000}"/>
    <cellStyle name="Comma 5 2 2 3" xfId="1391" xr:uid="{00000000-0005-0000-0000-0000700E0000}"/>
    <cellStyle name="Comma 5 2 2 3 2" xfId="4985" xr:uid="{00000000-0005-0000-0000-0000710E0000}"/>
    <cellStyle name="Comma 5 2 2 4" xfId="4986" xr:uid="{00000000-0005-0000-0000-0000720E0000}"/>
    <cellStyle name="Comma 5 2 2 5" xfId="2550" xr:uid="{00000000-0005-0000-0000-0000730E0000}"/>
    <cellStyle name="Comma 5 2 3" xfId="743" xr:uid="{00000000-0005-0000-0000-0000740E0000}"/>
    <cellStyle name="Comma 5 2 3 2" xfId="744" xr:uid="{00000000-0005-0000-0000-0000750E0000}"/>
    <cellStyle name="Comma 5 2 3 2 2" xfId="2101" xr:uid="{00000000-0005-0000-0000-0000760E0000}"/>
    <cellStyle name="Comma 5 2 3 2 2 2" xfId="4987" xr:uid="{00000000-0005-0000-0000-0000770E0000}"/>
    <cellStyle name="Comma 5 2 3 2 3" xfId="4988" xr:uid="{00000000-0005-0000-0000-0000780E0000}"/>
    <cellStyle name="Comma 5 2 3 2 4" xfId="3261" xr:uid="{00000000-0005-0000-0000-0000790E0000}"/>
    <cellStyle name="Comma 5 2 3 3" xfId="1527" xr:uid="{00000000-0005-0000-0000-00007A0E0000}"/>
    <cellStyle name="Comma 5 2 3 3 2" xfId="4989" xr:uid="{00000000-0005-0000-0000-00007B0E0000}"/>
    <cellStyle name="Comma 5 2 3 4" xfId="4990" xr:uid="{00000000-0005-0000-0000-00007C0E0000}"/>
    <cellStyle name="Comma 5 2 3 5" xfId="2686" xr:uid="{00000000-0005-0000-0000-00007D0E0000}"/>
    <cellStyle name="Comma 5 2 4" xfId="745" xr:uid="{00000000-0005-0000-0000-00007E0E0000}"/>
    <cellStyle name="Comma 5 2 4 2" xfId="746" xr:uid="{00000000-0005-0000-0000-00007F0E0000}"/>
    <cellStyle name="Comma 5 2 4 2 2" xfId="2247" xr:uid="{00000000-0005-0000-0000-0000800E0000}"/>
    <cellStyle name="Comma 5 2 4 2 2 2" xfId="4991" xr:uid="{00000000-0005-0000-0000-0000810E0000}"/>
    <cellStyle name="Comma 5 2 4 2 3" xfId="4992" xr:uid="{00000000-0005-0000-0000-0000820E0000}"/>
    <cellStyle name="Comma 5 2 4 2 4" xfId="3407" xr:uid="{00000000-0005-0000-0000-0000830E0000}"/>
    <cellStyle name="Comma 5 2 4 3" xfId="1673" xr:uid="{00000000-0005-0000-0000-0000840E0000}"/>
    <cellStyle name="Comma 5 2 4 3 2" xfId="4993" xr:uid="{00000000-0005-0000-0000-0000850E0000}"/>
    <cellStyle name="Comma 5 2 4 4" xfId="4994" xr:uid="{00000000-0005-0000-0000-0000860E0000}"/>
    <cellStyle name="Comma 5 2 4 5" xfId="2832" xr:uid="{00000000-0005-0000-0000-0000870E0000}"/>
    <cellStyle name="Comma 5 2 5" xfId="747" xr:uid="{00000000-0005-0000-0000-0000880E0000}"/>
    <cellStyle name="Comma 5 2 5 2" xfId="1822" xr:uid="{00000000-0005-0000-0000-0000890E0000}"/>
    <cellStyle name="Comma 5 2 5 2 2" xfId="4995" xr:uid="{00000000-0005-0000-0000-00008A0E0000}"/>
    <cellStyle name="Comma 5 2 5 3" xfId="4996" xr:uid="{00000000-0005-0000-0000-00008B0E0000}"/>
    <cellStyle name="Comma 5 2 5 4" xfId="2982" xr:uid="{00000000-0005-0000-0000-00008C0E0000}"/>
    <cellStyle name="Comma 5 2 6" xfId="1247" xr:uid="{00000000-0005-0000-0000-00008D0E0000}"/>
    <cellStyle name="Comma 5 2 6 2" xfId="4997" xr:uid="{00000000-0005-0000-0000-00008E0E0000}"/>
    <cellStyle name="Comma 5 2 7" xfId="4998" xr:uid="{00000000-0005-0000-0000-00008F0E0000}"/>
    <cellStyle name="Comma 5 2 8" xfId="2406" xr:uid="{00000000-0005-0000-0000-0000900E0000}"/>
    <cellStyle name="Comma 5 3" xfId="748" xr:uid="{00000000-0005-0000-0000-0000910E0000}"/>
    <cellStyle name="Comma 5 3 2" xfId="749" xr:uid="{00000000-0005-0000-0000-0000920E0000}"/>
    <cellStyle name="Comma 5 3 2 2" xfId="750" xr:uid="{00000000-0005-0000-0000-0000930E0000}"/>
    <cellStyle name="Comma 5 3 2 2 2" xfId="2033" xr:uid="{00000000-0005-0000-0000-0000940E0000}"/>
    <cellStyle name="Comma 5 3 2 2 2 2" xfId="4999" xr:uid="{00000000-0005-0000-0000-0000950E0000}"/>
    <cellStyle name="Comma 5 3 2 2 3" xfId="5000" xr:uid="{00000000-0005-0000-0000-0000960E0000}"/>
    <cellStyle name="Comma 5 3 2 2 4" xfId="3193" xr:uid="{00000000-0005-0000-0000-0000970E0000}"/>
    <cellStyle name="Comma 5 3 2 3" xfId="1459" xr:uid="{00000000-0005-0000-0000-0000980E0000}"/>
    <cellStyle name="Comma 5 3 2 3 2" xfId="5001" xr:uid="{00000000-0005-0000-0000-0000990E0000}"/>
    <cellStyle name="Comma 5 3 2 4" xfId="5002" xr:uid="{00000000-0005-0000-0000-00009A0E0000}"/>
    <cellStyle name="Comma 5 3 2 5" xfId="2618" xr:uid="{00000000-0005-0000-0000-00009B0E0000}"/>
    <cellStyle name="Comma 5 3 3" xfId="751" xr:uid="{00000000-0005-0000-0000-00009C0E0000}"/>
    <cellStyle name="Comma 5 3 3 2" xfId="752" xr:uid="{00000000-0005-0000-0000-00009D0E0000}"/>
    <cellStyle name="Comma 5 3 3 2 2" xfId="2169" xr:uid="{00000000-0005-0000-0000-00009E0E0000}"/>
    <cellStyle name="Comma 5 3 3 2 2 2" xfId="5003" xr:uid="{00000000-0005-0000-0000-00009F0E0000}"/>
    <cellStyle name="Comma 5 3 3 2 3" xfId="5004" xr:uid="{00000000-0005-0000-0000-0000A00E0000}"/>
    <cellStyle name="Comma 5 3 3 2 4" xfId="3329" xr:uid="{00000000-0005-0000-0000-0000A10E0000}"/>
    <cellStyle name="Comma 5 3 3 3" xfId="1595" xr:uid="{00000000-0005-0000-0000-0000A20E0000}"/>
    <cellStyle name="Comma 5 3 3 3 2" xfId="5005" xr:uid="{00000000-0005-0000-0000-0000A30E0000}"/>
    <cellStyle name="Comma 5 3 3 4" xfId="5006" xr:uid="{00000000-0005-0000-0000-0000A40E0000}"/>
    <cellStyle name="Comma 5 3 3 5" xfId="2754" xr:uid="{00000000-0005-0000-0000-0000A50E0000}"/>
    <cellStyle name="Comma 5 3 4" xfId="753" xr:uid="{00000000-0005-0000-0000-0000A60E0000}"/>
    <cellStyle name="Comma 5 3 4 2" xfId="754" xr:uid="{00000000-0005-0000-0000-0000A70E0000}"/>
    <cellStyle name="Comma 5 3 4 2 2" xfId="2315" xr:uid="{00000000-0005-0000-0000-0000A80E0000}"/>
    <cellStyle name="Comma 5 3 4 2 2 2" xfId="5007" xr:uid="{00000000-0005-0000-0000-0000A90E0000}"/>
    <cellStyle name="Comma 5 3 4 2 3" xfId="5008" xr:uid="{00000000-0005-0000-0000-0000AA0E0000}"/>
    <cellStyle name="Comma 5 3 4 2 4" xfId="3475" xr:uid="{00000000-0005-0000-0000-0000AB0E0000}"/>
    <cellStyle name="Comma 5 3 4 3" xfId="1741" xr:uid="{00000000-0005-0000-0000-0000AC0E0000}"/>
    <cellStyle name="Comma 5 3 4 3 2" xfId="5009" xr:uid="{00000000-0005-0000-0000-0000AD0E0000}"/>
    <cellStyle name="Comma 5 3 4 4" xfId="5010" xr:uid="{00000000-0005-0000-0000-0000AE0E0000}"/>
    <cellStyle name="Comma 5 3 4 5" xfId="2900" xr:uid="{00000000-0005-0000-0000-0000AF0E0000}"/>
    <cellStyle name="Comma 5 3 5" xfId="755" xr:uid="{00000000-0005-0000-0000-0000B00E0000}"/>
    <cellStyle name="Comma 5 3 5 2" xfId="1890" xr:uid="{00000000-0005-0000-0000-0000B10E0000}"/>
    <cellStyle name="Comma 5 3 5 2 2" xfId="5011" xr:uid="{00000000-0005-0000-0000-0000B20E0000}"/>
    <cellStyle name="Comma 5 3 5 3" xfId="5012" xr:uid="{00000000-0005-0000-0000-0000B30E0000}"/>
    <cellStyle name="Comma 5 3 5 4" xfId="3050" xr:uid="{00000000-0005-0000-0000-0000B40E0000}"/>
    <cellStyle name="Comma 5 3 6" xfId="1315" xr:uid="{00000000-0005-0000-0000-0000B50E0000}"/>
    <cellStyle name="Comma 5 3 6 2" xfId="5013" xr:uid="{00000000-0005-0000-0000-0000B60E0000}"/>
    <cellStyle name="Comma 5 3 7" xfId="5014" xr:uid="{00000000-0005-0000-0000-0000B70E0000}"/>
    <cellStyle name="Comma 5 3 8" xfId="2474" xr:uid="{00000000-0005-0000-0000-0000B80E0000}"/>
    <cellStyle name="Comma 5 4" xfId="756" xr:uid="{00000000-0005-0000-0000-0000B90E0000}"/>
    <cellStyle name="Comma 5 4 2" xfId="757" xr:uid="{00000000-0005-0000-0000-0000BA0E0000}"/>
    <cellStyle name="Comma 5 4 2 2" xfId="1919" xr:uid="{00000000-0005-0000-0000-0000BB0E0000}"/>
    <cellStyle name="Comma 5 4 2 2 2" xfId="5015" xr:uid="{00000000-0005-0000-0000-0000BC0E0000}"/>
    <cellStyle name="Comma 5 4 2 3" xfId="5016" xr:uid="{00000000-0005-0000-0000-0000BD0E0000}"/>
    <cellStyle name="Comma 5 4 2 4" xfId="3079" xr:uid="{00000000-0005-0000-0000-0000BE0E0000}"/>
    <cellStyle name="Comma 5 4 3" xfId="1344" xr:uid="{00000000-0005-0000-0000-0000BF0E0000}"/>
    <cellStyle name="Comma 5 4 3 2" xfId="5017" xr:uid="{00000000-0005-0000-0000-0000C00E0000}"/>
    <cellStyle name="Comma 5 4 4" xfId="5018" xr:uid="{00000000-0005-0000-0000-0000C10E0000}"/>
    <cellStyle name="Comma 5 4 5" xfId="2503" xr:uid="{00000000-0005-0000-0000-0000C20E0000}"/>
    <cellStyle name="Comma 5 5" xfId="758" xr:uid="{00000000-0005-0000-0000-0000C30E0000}"/>
    <cellStyle name="Comma 5 5 2" xfId="759" xr:uid="{00000000-0005-0000-0000-0000C40E0000}"/>
    <cellStyle name="Comma 5 5 2 2" xfId="2054" xr:uid="{00000000-0005-0000-0000-0000C50E0000}"/>
    <cellStyle name="Comma 5 5 2 2 2" xfId="5019" xr:uid="{00000000-0005-0000-0000-0000C60E0000}"/>
    <cellStyle name="Comma 5 5 2 3" xfId="5020" xr:uid="{00000000-0005-0000-0000-0000C70E0000}"/>
    <cellStyle name="Comma 5 5 2 4" xfId="3214" xr:uid="{00000000-0005-0000-0000-0000C80E0000}"/>
    <cellStyle name="Comma 5 5 3" xfId="1480" xr:uid="{00000000-0005-0000-0000-0000C90E0000}"/>
    <cellStyle name="Comma 5 5 3 2" xfId="5021" xr:uid="{00000000-0005-0000-0000-0000CA0E0000}"/>
    <cellStyle name="Comma 5 5 4" xfId="5022" xr:uid="{00000000-0005-0000-0000-0000CB0E0000}"/>
    <cellStyle name="Comma 5 5 5" xfId="2639" xr:uid="{00000000-0005-0000-0000-0000CC0E0000}"/>
    <cellStyle name="Comma 5 6" xfId="760" xr:uid="{00000000-0005-0000-0000-0000CD0E0000}"/>
    <cellStyle name="Comma 5 6 2" xfId="761" xr:uid="{00000000-0005-0000-0000-0000CE0E0000}"/>
    <cellStyle name="Comma 5 6 2 2" xfId="2200" xr:uid="{00000000-0005-0000-0000-0000CF0E0000}"/>
    <cellStyle name="Comma 5 6 2 2 2" xfId="5023" xr:uid="{00000000-0005-0000-0000-0000D00E0000}"/>
    <cellStyle name="Comma 5 6 2 3" xfId="5024" xr:uid="{00000000-0005-0000-0000-0000D10E0000}"/>
    <cellStyle name="Comma 5 6 2 4" xfId="3360" xr:uid="{00000000-0005-0000-0000-0000D20E0000}"/>
    <cellStyle name="Comma 5 6 3" xfId="1626" xr:uid="{00000000-0005-0000-0000-0000D30E0000}"/>
    <cellStyle name="Comma 5 6 3 2" xfId="5025" xr:uid="{00000000-0005-0000-0000-0000D40E0000}"/>
    <cellStyle name="Comma 5 6 4" xfId="5026" xr:uid="{00000000-0005-0000-0000-0000D50E0000}"/>
    <cellStyle name="Comma 5 6 5" xfId="2785" xr:uid="{00000000-0005-0000-0000-0000D60E0000}"/>
    <cellStyle name="Comma 5 7" xfId="762" xr:uid="{00000000-0005-0000-0000-0000D70E0000}"/>
    <cellStyle name="Comma 5 7 2" xfId="1775" xr:uid="{00000000-0005-0000-0000-0000D80E0000}"/>
    <cellStyle name="Comma 5 7 2 2" xfId="5027" xr:uid="{00000000-0005-0000-0000-0000D90E0000}"/>
    <cellStyle name="Comma 5 7 3" xfId="5028" xr:uid="{00000000-0005-0000-0000-0000DA0E0000}"/>
    <cellStyle name="Comma 5 7 4" xfId="2935" xr:uid="{00000000-0005-0000-0000-0000DB0E0000}"/>
    <cellStyle name="Comma 5 8" xfId="1200" xr:uid="{00000000-0005-0000-0000-0000DC0E0000}"/>
    <cellStyle name="Comma 5 8 2" xfId="5029" xr:uid="{00000000-0005-0000-0000-0000DD0E0000}"/>
    <cellStyle name="Comma 5 9" xfId="5030" xr:uid="{00000000-0005-0000-0000-0000DE0E0000}"/>
    <cellStyle name="Comma 50" xfId="2353" xr:uid="{00000000-0005-0000-0000-0000DF0E0000}"/>
    <cellStyle name="Comma 50 2" xfId="5876" xr:uid="{00000000-0005-0000-0000-0000E00E0000}"/>
    <cellStyle name="Comma 50 3" xfId="5875" xr:uid="{00000000-0005-0000-0000-0000E10E0000}"/>
    <cellStyle name="Comma 50 4" xfId="5872" xr:uid="{00000000-0005-0000-0000-0000E20E0000}"/>
    <cellStyle name="Comma 51" xfId="5031" xr:uid="{00000000-0005-0000-0000-0000E30E0000}"/>
    <cellStyle name="Comma 52" xfId="5032" xr:uid="{00000000-0005-0000-0000-0000E40E0000}"/>
    <cellStyle name="Comma 53" xfId="5033" xr:uid="{00000000-0005-0000-0000-0000E50E0000}"/>
    <cellStyle name="Comma 54" xfId="5034" xr:uid="{00000000-0005-0000-0000-0000E60E0000}"/>
    <cellStyle name="Comma 55" xfId="2351" xr:uid="{00000000-0005-0000-0000-0000E70E0000}"/>
    <cellStyle name="Comma 56" xfId="5884" xr:uid="{4DF4EAEF-E444-4C1B-B504-6B793D53D547}"/>
    <cellStyle name="Comma 6" xfId="763" xr:uid="{00000000-0005-0000-0000-0000E80E0000}"/>
    <cellStyle name="Comma 6 10" xfId="2360" xr:uid="{00000000-0005-0000-0000-0000E90E0000}"/>
    <cellStyle name="Comma 6 2" xfId="764" xr:uid="{00000000-0005-0000-0000-0000EA0E0000}"/>
    <cellStyle name="Comma 6 2 2" xfId="765" xr:uid="{00000000-0005-0000-0000-0000EB0E0000}"/>
    <cellStyle name="Comma 6 2 2 2" xfId="766" xr:uid="{00000000-0005-0000-0000-0000EC0E0000}"/>
    <cellStyle name="Comma 6 2 2 2 2" xfId="1966" xr:uid="{00000000-0005-0000-0000-0000ED0E0000}"/>
    <cellStyle name="Comma 6 2 2 2 2 2" xfId="5035" xr:uid="{00000000-0005-0000-0000-0000EE0E0000}"/>
    <cellStyle name="Comma 6 2 2 2 3" xfId="5036" xr:uid="{00000000-0005-0000-0000-0000EF0E0000}"/>
    <cellStyle name="Comma 6 2 2 2 4" xfId="3126" xr:uid="{00000000-0005-0000-0000-0000F00E0000}"/>
    <cellStyle name="Comma 6 2 2 3" xfId="1392" xr:uid="{00000000-0005-0000-0000-0000F10E0000}"/>
    <cellStyle name="Comma 6 2 2 3 2" xfId="5037" xr:uid="{00000000-0005-0000-0000-0000F20E0000}"/>
    <cellStyle name="Comma 6 2 2 4" xfId="5038" xr:uid="{00000000-0005-0000-0000-0000F30E0000}"/>
    <cellStyle name="Comma 6 2 2 5" xfId="2551" xr:uid="{00000000-0005-0000-0000-0000F40E0000}"/>
    <cellStyle name="Comma 6 2 3" xfId="767" xr:uid="{00000000-0005-0000-0000-0000F50E0000}"/>
    <cellStyle name="Comma 6 2 3 2" xfId="768" xr:uid="{00000000-0005-0000-0000-0000F60E0000}"/>
    <cellStyle name="Comma 6 2 3 2 2" xfId="2102" xr:uid="{00000000-0005-0000-0000-0000F70E0000}"/>
    <cellStyle name="Comma 6 2 3 2 2 2" xfId="5039" xr:uid="{00000000-0005-0000-0000-0000F80E0000}"/>
    <cellStyle name="Comma 6 2 3 2 3" xfId="5040" xr:uid="{00000000-0005-0000-0000-0000F90E0000}"/>
    <cellStyle name="Comma 6 2 3 2 4" xfId="3262" xr:uid="{00000000-0005-0000-0000-0000FA0E0000}"/>
    <cellStyle name="Comma 6 2 3 3" xfId="1528" xr:uid="{00000000-0005-0000-0000-0000FB0E0000}"/>
    <cellStyle name="Comma 6 2 3 3 2" xfId="5041" xr:uid="{00000000-0005-0000-0000-0000FC0E0000}"/>
    <cellStyle name="Comma 6 2 3 4" xfId="5042" xr:uid="{00000000-0005-0000-0000-0000FD0E0000}"/>
    <cellStyle name="Comma 6 2 3 5" xfId="2687" xr:uid="{00000000-0005-0000-0000-0000FE0E0000}"/>
    <cellStyle name="Comma 6 2 4" xfId="769" xr:uid="{00000000-0005-0000-0000-0000FF0E0000}"/>
    <cellStyle name="Comma 6 2 4 2" xfId="770" xr:uid="{00000000-0005-0000-0000-0000000F0000}"/>
    <cellStyle name="Comma 6 2 4 2 2" xfId="2248" xr:uid="{00000000-0005-0000-0000-0000010F0000}"/>
    <cellStyle name="Comma 6 2 4 2 2 2" xfId="5043" xr:uid="{00000000-0005-0000-0000-0000020F0000}"/>
    <cellStyle name="Comma 6 2 4 2 3" xfId="5044" xr:uid="{00000000-0005-0000-0000-0000030F0000}"/>
    <cellStyle name="Comma 6 2 4 2 4" xfId="3408" xr:uid="{00000000-0005-0000-0000-0000040F0000}"/>
    <cellStyle name="Comma 6 2 4 3" xfId="1674" xr:uid="{00000000-0005-0000-0000-0000050F0000}"/>
    <cellStyle name="Comma 6 2 4 3 2" xfId="5045" xr:uid="{00000000-0005-0000-0000-0000060F0000}"/>
    <cellStyle name="Comma 6 2 4 4" xfId="5046" xr:uid="{00000000-0005-0000-0000-0000070F0000}"/>
    <cellStyle name="Comma 6 2 4 5" xfId="2833" xr:uid="{00000000-0005-0000-0000-0000080F0000}"/>
    <cellStyle name="Comma 6 2 5" xfId="771" xr:uid="{00000000-0005-0000-0000-0000090F0000}"/>
    <cellStyle name="Comma 6 2 5 2" xfId="1823" xr:uid="{00000000-0005-0000-0000-00000A0F0000}"/>
    <cellStyle name="Comma 6 2 5 2 2" xfId="5047" xr:uid="{00000000-0005-0000-0000-00000B0F0000}"/>
    <cellStyle name="Comma 6 2 5 3" xfId="5048" xr:uid="{00000000-0005-0000-0000-00000C0F0000}"/>
    <cellStyle name="Comma 6 2 5 4" xfId="2983" xr:uid="{00000000-0005-0000-0000-00000D0F0000}"/>
    <cellStyle name="Comma 6 2 6" xfId="1248" xr:uid="{00000000-0005-0000-0000-00000E0F0000}"/>
    <cellStyle name="Comma 6 2 6 2" xfId="5049" xr:uid="{00000000-0005-0000-0000-00000F0F0000}"/>
    <cellStyle name="Comma 6 2 7" xfId="5050" xr:uid="{00000000-0005-0000-0000-0000100F0000}"/>
    <cellStyle name="Comma 6 2 8" xfId="2407" xr:uid="{00000000-0005-0000-0000-0000110F0000}"/>
    <cellStyle name="Comma 6 3" xfId="772" xr:uid="{00000000-0005-0000-0000-0000120F0000}"/>
    <cellStyle name="Comma 6 3 2" xfId="773" xr:uid="{00000000-0005-0000-0000-0000130F0000}"/>
    <cellStyle name="Comma 6 3 2 2" xfId="774" xr:uid="{00000000-0005-0000-0000-0000140F0000}"/>
    <cellStyle name="Comma 6 3 2 2 2" xfId="2034" xr:uid="{00000000-0005-0000-0000-0000150F0000}"/>
    <cellStyle name="Comma 6 3 2 2 2 2" xfId="5051" xr:uid="{00000000-0005-0000-0000-0000160F0000}"/>
    <cellStyle name="Comma 6 3 2 2 3" xfId="5052" xr:uid="{00000000-0005-0000-0000-0000170F0000}"/>
    <cellStyle name="Comma 6 3 2 2 4" xfId="3194" xr:uid="{00000000-0005-0000-0000-0000180F0000}"/>
    <cellStyle name="Comma 6 3 2 3" xfId="1460" xr:uid="{00000000-0005-0000-0000-0000190F0000}"/>
    <cellStyle name="Comma 6 3 2 3 2" xfId="5053" xr:uid="{00000000-0005-0000-0000-00001A0F0000}"/>
    <cellStyle name="Comma 6 3 2 4" xfId="5054" xr:uid="{00000000-0005-0000-0000-00001B0F0000}"/>
    <cellStyle name="Comma 6 3 2 5" xfId="2619" xr:uid="{00000000-0005-0000-0000-00001C0F0000}"/>
    <cellStyle name="Comma 6 3 3" xfId="775" xr:uid="{00000000-0005-0000-0000-00001D0F0000}"/>
    <cellStyle name="Comma 6 3 3 2" xfId="776" xr:uid="{00000000-0005-0000-0000-00001E0F0000}"/>
    <cellStyle name="Comma 6 3 3 2 2" xfId="2170" xr:uid="{00000000-0005-0000-0000-00001F0F0000}"/>
    <cellStyle name="Comma 6 3 3 2 2 2" xfId="5055" xr:uid="{00000000-0005-0000-0000-0000200F0000}"/>
    <cellStyle name="Comma 6 3 3 2 3" xfId="5056" xr:uid="{00000000-0005-0000-0000-0000210F0000}"/>
    <cellStyle name="Comma 6 3 3 2 4" xfId="3330" xr:uid="{00000000-0005-0000-0000-0000220F0000}"/>
    <cellStyle name="Comma 6 3 3 3" xfId="1596" xr:uid="{00000000-0005-0000-0000-0000230F0000}"/>
    <cellStyle name="Comma 6 3 3 3 2" xfId="5057" xr:uid="{00000000-0005-0000-0000-0000240F0000}"/>
    <cellStyle name="Comma 6 3 3 4" xfId="5058" xr:uid="{00000000-0005-0000-0000-0000250F0000}"/>
    <cellStyle name="Comma 6 3 3 5" xfId="2755" xr:uid="{00000000-0005-0000-0000-0000260F0000}"/>
    <cellStyle name="Comma 6 3 4" xfId="777" xr:uid="{00000000-0005-0000-0000-0000270F0000}"/>
    <cellStyle name="Comma 6 3 4 2" xfId="778" xr:uid="{00000000-0005-0000-0000-0000280F0000}"/>
    <cellStyle name="Comma 6 3 4 2 2" xfId="2316" xr:uid="{00000000-0005-0000-0000-0000290F0000}"/>
    <cellStyle name="Comma 6 3 4 2 2 2" xfId="5059" xr:uid="{00000000-0005-0000-0000-00002A0F0000}"/>
    <cellStyle name="Comma 6 3 4 2 3" xfId="5060" xr:uid="{00000000-0005-0000-0000-00002B0F0000}"/>
    <cellStyle name="Comma 6 3 4 2 4" xfId="3476" xr:uid="{00000000-0005-0000-0000-00002C0F0000}"/>
    <cellStyle name="Comma 6 3 4 3" xfId="1742" xr:uid="{00000000-0005-0000-0000-00002D0F0000}"/>
    <cellStyle name="Comma 6 3 4 3 2" xfId="5061" xr:uid="{00000000-0005-0000-0000-00002E0F0000}"/>
    <cellStyle name="Comma 6 3 4 4" xfId="5062" xr:uid="{00000000-0005-0000-0000-00002F0F0000}"/>
    <cellStyle name="Comma 6 3 4 5" xfId="2901" xr:uid="{00000000-0005-0000-0000-0000300F0000}"/>
    <cellStyle name="Comma 6 3 5" xfId="779" xr:uid="{00000000-0005-0000-0000-0000310F0000}"/>
    <cellStyle name="Comma 6 3 5 2" xfId="1891" xr:uid="{00000000-0005-0000-0000-0000320F0000}"/>
    <cellStyle name="Comma 6 3 5 2 2" xfId="5063" xr:uid="{00000000-0005-0000-0000-0000330F0000}"/>
    <cellStyle name="Comma 6 3 5 3" xfId="5064" xr:uid="{00000000-0005-0000-0000-0000340F0000}"/>
    <cellStyle name="Comma 6 3 5 4" xfId="3051" xr:uid="{00000000-0005-0000-0000-0000350F0000}"/>
    <cellStyle name="Comma 6 3 6" xfId="1316" xr:uid="{00000000-0005-0000-0000-0000360F0000}"/>
    <cellStyle name="Comma 6 3 6 2" xfId="5065" xr:uid="{00000000-0005-0000-0000-0000370F0000}"/>
    <cellStyle name="Comma 6 3 7" xfId="5066" xr:uid="{00000000-0005-0000-0000-0000380F0000}"/>
    <cellStyle name="Comma 6 3 8" xfId="2475" xr:uid="{00000000-0005-0000-0000-0000390F0000}"/>
    <cellStyle name="Comma 6 4" xfId="780" xr:uid="{00000000-0005-0000-0000-00003A0F0000}"/>
    <cellStyle name="Comma 6 4 2" xfId="781" xr:uid="{00000000-0005-0000-0000-00003B0F0000}"/>
    <cellStyle name="Comma 6 4 2 2" xfId="1920" xr:uid="{00000000-0005-0000-0000-00003C0F0000}"/>
    <cellStyle name="Comma 6 4 2 2 2" xfId="5067" xr:uid="{00000000-0005-0000-0000-00003D0F0000}"/>
    <cellStyle name="Comma 6 4 2 3" xfId="5068" xr:uid="{00000000-0005-0000-0000-00003E0F0000}"/>
    <cellStyle name="Comma 6 4 2 4" xfId="3080" xr:uid="{00000000-0005-0000-0000-00003F0F0000}"/>
    <cellStyle name="Comma 6 4 3" xfId="1345" xr:uid="{00000000-0005-0000-0000-0000400F0000}"/>
    <cellStyle name="Comma 6 4 3 2" xfId="5069" xr:uid="{00000000-0005-0000-0000-0000410F0000}"/>
    <cellStyle name="Comma 6 4 4" xfId="5070" xr:uid="{00000000-0005-0000-0000-0000420F0000}"/>
    <cellStyle name="Comma 6 4 5" xfId="2504" xr:uid="{00000000-0005-0000-0000-0000430F0000}"/>
    <cellStyle name="Comma 6 5" xfId="782" xr:uid="{00000000-0005-0000-0000-0000440F0000}"/>
    <cellStyle name="Comma 6 5 2" xfId="783" xr:uid="{00000000-0005-0000-0000-0000450F0000}"/>
    <cellStyle name="Comma 6 5 2 2" xfId="2055" xr:uid="{00000000-0005-0000-0000-0000460F0000}"/>
    <cellStyle name="Comma 6 5 2 2 2" xfId="5071" xr:uid="{00000000-0005-0000-0000-0000470F0000}"/>
    <cellStyle name="Comma 6 5 2 3" xfId="5072" xr:uid="{00000000-0005-0000-0000-0000480F0000}"/>
    <cellStyle name="Comma 6 5 2 4" xfId="3215" xr:uid="{00000000-0005-0000-0000-0000490F0000}"/>
    <cellStyle name="Comma 6 5 3" xfId="1481" xr:uid="{00000000-0005-0000-0000-00004A0F0000}"/>
    <cellStyle name="Comma 6 5 3 2" xfId="5073" xr:uid="{00000000-0005-0000-0000-00004B0F0000}"/>
    <cellStyle name="Comma 6 5 4" xfId="5074" xr:uid="{00000000-0005-0000-0000-00004C0F0000}"/>
    <cellStyle name="Comma 6 5 5" xfId="2640" xr:uid="{00000000-0005-0000-0000-00004D0F0000}"/>
    <cellStyle name="Comma 6 6" xfId="784" xr:uid="{00000000-0005-0000-0000-00004E0F0000}"/>
    <cellStyle name="Comma 6 6 2" xfId="785" xr:uid="{00000000-0005-0000-0000-00004F0F0000}"/>
    <cellStyle name="Comma 6 6 2 2" xfId="2201" xr:uid="{00000000-0005-0000-0000-0000500F0000}"/>
    <cellStyle name="Comma 6 6 2 2 2" xfId="5075" xr:uid="{00000000-0005-0000-0000-0000510F0000}"/>
    <cellStyle name="Comma 6 6 2 3" xfId="5076" xr:uid="{00000000-0005-0000-0000-0000520F0000}"/>
    <cellStyle name="Comma 6 6 2 4" xfId="3361" xr:uid="{00000000-0005-0000-0000-0000530F0000}"/>
    <cellStyle name="Comma 6 6 3" xfId="1627" xr:uid="{00000000-0005-0000-0000-0000540F0000}"/>
    <cellStyle name="Comma 6 6 3 2" xfId="5077" xr:uid="{00000000-0005-0000-0000-0000550F0000}"/>
    <cellStyle name="Comma 6 6 4" xfId="5078" xr:uid="{00000000-0005-0000-0000-0000560F0000}"/>
    <cellStyle name="Comma 6 6 5" xfId="2786" xr:uid="{00000000-0005-0000-0000-0000570F0000}"/>
    <cellStyle name="Comma 6 7" xfId="786" xr:uid="{00000000-0005-0000-0000-0000580F0000}"/>
    <cellStyle name="Comma 6 7 2" xfId="1776" xr:uid="{00000000-0005-0000-0000-0000590F0000}"/>
    <cellStyle name="Comma 6 7 2 2" xfId="5079" xr:uid="{00000000-0005-0000-0000-00005A0F0000}"/>
    <cellStyle name="Comma 6 7 3" xfId="5080" xr:uid="{00000000-0005-0000-0000-00005B0F0000}"/>
    <cellStyle name="Comma 6 7 4" xfId="2936" xr:uid="{00000000-0005-0000-0000-00005C0F0000}"/>
    <cellStyle name="Comma 6 8" xfId="1201" xr:uid="{00000000-0005-0000-0000-00005D0F0000}"/>
    <cellStyle name="Comma 6 8 2" xfId="5081" xr:uid="{00000000-0005-0000-0000-00005E0F0000}"/>
    <cellStyle name="Comma 6 9" xfId="5082" xr:uid="{00000000-0005-0000-0000-00005F0F0000}"/>
    <cellStyle name="Comma 7" xfId="787" xr:uid="{00000000-0005-0000-0000-0000600F0000}"/>
    <cellStyle name="Comma 7 10" xfId="2361" xr:uid="{00000000-0005-0000-0000-0000610F0000}"/>
    <cellStyle name="Comma 7 2" xfId="788" xr:uid="{00000000-0005-0000-0000-0000620F0000}"/>
    <cellStyle name="Comma 7 2 2" xfId="789" xr:uid="{00000000-0005-0000-0000-0000630F0000}"/>
    <cellStyle name="Comma 7 2 2 2" xfId="790" xr:uid="{00000000-0005-0000-0000-0000640F0000}"/>
    <cellStyle name="Comma 7 2 2 2 2" xfId="1967" xr:uid="{00000000-0005-0000-0000-0000650F0000}"/>
    <cellStyle name="Comma 7 2 2 2 2 2" xfId="5083" xr:uid="{00000000-0005-0000-0000-0000660F0000}"/>
    <cellStyle name="Comma 7 2 2 2 3" xfId="5084" xr:uid="{00000000-0005-0000-0000-0000670F0000}"/>
    <cellStyle name="Comma 7 2 2 2 4" xfId="3127" xr:uid="{00000000-0005-0000-0000-0000680F0000}"/>
    <cellStyle name="Comma 7 2 2 3" xfId="1393" xr:uid="{00000000-0005-0000-0000-0000690F0000}"/>
    <cellStyle name="Comma 7 2 2 3 2" xfId="5085" xr:uid="{00000000-0005-0000-0000-00006A0F0000}"/>
    <cellStyle name="Comma 7 2 2 4" xfId="5086" xr:uid="{00000000-0005-0000-0000-00006B0F0000}"/>
    <cellStyle name="Comma 7 2 2 5" xfId="2552" xr:uid="{00000000-0005-0000-0000-00006C0F0000}"/>
    <cellStyle name="Comma 7 2 3" xfId="791" xr:uid="{00000000-0005-0000-0000-00006D0F0000}"/>
    <cellStyle name="Comma 7 2 3 2" xfId="792" xr:uid="{00000000-0005-0000-0000-00006E0F0000}"/>
    <cellStyle name="Comma 7 2 3 2 2" xfId="2103" xr:uid="{00000000-0005-0000-0000-00006F0F0000}"/>
    <cellStyle name="Comma 7 2 3 2 2 2" xfId="5087" xr:uid="{00000000-0005-0000-0000-0000700F0000}"/>
    <cellStyle name="Comma 7 2 3 2 3" xfId="5088" xr:uid="{00000000-0005-0000-0000-0000710F0000}"/>
    <cellStyle name="Comma 7 2 3 2 4" xfId="3263" xr:uid="{00000000-0005-0000-0000-0000720F0000}"/>
    <cellStyle name="Comma 7 2 3 3" xfId="1529" xr:uid="{00000000-0005-0000-0000-0000730F0000}"/>
    <cellStyle name="Comma 7 2 3 3 2" xfId="5089" xr:uid="{00000000-0005-0000-0000-0000740F0000}"/>
    <cellStyle name="Comma 7 2 3 4" xfId="5090" xr:uid="{00000000-0005-0000-0000-0000750F0000}"/>
    <cellStyle name="Comma 7 2 3 5" xfId="2688" xr:uid="{00000000-0005-0000-0000-0000760F0000}"/>
    <cellStyle name="Comma 7 2 4" xfId="793" xr:uid="{00000000-0005-0000-0000-0000770F0000}"/>
    <cellStyle name="Comma 7 2 4 2" xfId="794" xr:uid="{00000000-0005-0000-0000-0000780F0000}"/>
    <cellStyle name="Comma 7 2 4 2 2" xfId="2249" xr:uid="{00000000-0005-0000-0000-0000790F0000}"/>
    <cellStyle name="Comma 7 2 4 2 2 2" xfId="5091" xr:uid="{00000000-0005-0000-0000-00007A0F0000}"/>
    <cellStyle name="Comma 7 2 4 2 3" xfId="5092" xr:uid="{00000000-0005-0000-0000-00007B0F0000}"/>
    <cellStyle name="Comma 7 2 4 2 4" xfId="3409" xr:uid="{00000000-0005-0000-0000-00007C0F0000}"/>
    <cellStyle name="Comma 7 2 4 3" xfId="1675" xr:uid="{00000000-0005-0000-0000-00007D0F0000}"/>
    <cellStyle name="Comma 7 2 4 3 2" xfId="5093" xr:uid="{00000000-0005-0000-0000-00007E0F0000}"/>
    <cellStyle name="Comma 7 2 4 4" xfId="5094" xr:uid="{00000000-0005-0000-0000-00007F0F0000}"/>
    <cellStyle name="Comma 7 2 4 5" xfId="2834" xr:uid="{00000000-0005-0000-0000-0000800F0000}"/>
    <cellStyle name="Comma 7 2 5" xfId="795" xr:uid="{00000000-0005-0000-0000-0000810F0000}"/>
    <cellStyle name="Comma 7 2 5 2" xfId="1824" xr:uid="{00000000-0005-0000-0000-0000820F0000}"/>
    <cellStyle name="Comma 7 2 5 2 2" xfId="5095" xr:uid="{00000000-0005-0000-0000-0000830F0000}"/>
    <cellStyle name="Comma 7 2 5 3" xfId="5096" xr:uid="{00000000-0005-0000-0000-0000840F0000}"/>
    <cellStyle name="Comma 7 2 5 4" xfId="2984" xr:uid="{00000000-0005-0000-0000-0000850F0000}"/>
    <cellStyle name="Comma 7 2 6" xfId="1249" xr:uid="{00000000-0005-0000-0000-0000860F0000}"/>
    <cellStyle name="Comma 7 2 6 2" xfId="5097" xr:uid="{00000000-0005-0000-0000-0000870F0000}"/>
    <cellStyle name="Comma 7 2 7" xfId="5098" xr:uid="{00000000-0005-0000-0000-0000880F0000}"/>
    <cellStyle name="Comma 7 2 8" xfId="2408" xr:uid="{00000000-0005-0000-0000-0000890F0000}"/>
    <cellStyle name="Comma 7 3" xfId="796" xr:uid="{00000000-0005-0000-0000-00008A0F0000}"/>
    <cellStyle name="Comma 7 3 2" xfId="797" xr:uid="{00000000-0005-0000-0000-00008B0F0000}"/>
    <cellStyle name="Comma 7 3 2 2" xfId="798" xr:uid="{00000000-0005-0000-0000-00008C0F0000}"/>
    <cellStyle name="Comma 7 3 2 2 2" xfId="2035" xr:uid="{00000000-0005-0000-0000-00008D0F0000}"/>
    <cellStyle name="Comma 7 3 2 2 2 2" xfId="5099" xr:uid="{00000000-0005-0000-0000-00008E0F0000}"/>
    <cellStyle name="Comma 7 3 2 2 3" xfId="5100" xr:uid="{00000000-0005-0000-0000-00008F0F0000}"/>
    <cellStyle name="Comma 7 3 2 2 4" xfId="3195" xr:uid="{00000000-0005-0000-0000-0000900F0000}"/>
    <cellStyle name="Comma 7 3 2 3" xfId="1461" xr:uid="{00000000-0005-0000-0000-0000910F0000}"/>
    <cellStyle name="Comma 7 3 2 3 2" xfId="5101" xr:uid="{00000000-0005-0000-0000-0000920F0000}"/>
    <cellStyle name="Comma 7 3 2 4" xfId="5102" xr:uid="{00000000-0005-0000-0000-0000930F0000}"/>
    <cellStyle name="Comma 7 3 2 5" xfId="2620" xr:uid="{00000000-0005-0000-0000-0000940F0000}"/>
    <cellStyle name="Comma 7 3 3" xfId="799" xr:uid="{00000000-0005-0000-0000-0000950F0000}"/>
    <cellStyle name="Comma 7 3 3 2" xfId="800" xr:uid="{00000000-0005-0000-0000-0000960F0000}"/>
    <cellStyle name="Comma 7 3 3 2 2" xfId="2171" xr:uid="{00000000-0005-0000-0000-0000970F0000}"/>
    <cellStyle name="Comma 7 3 3 2 2 2" xfId="5103" xr:uid="{00000000-0005-0000-0000-0000980F0000}"/>
    <cellStyle name="Comma 7 3 3 2 3" xfId="5104" xr:uid="{00000000-0005-0000-0000-0000990F0000}"/>
    <cellStyle name="Comma 7 3 3 2 4" xfId="3331" xr:uid="{00000000-0005-0000-0000-00009A0F0000}"/>
    <cellStyle name="Comma 7 3 3 3" xfId="1597" xr:uid="{00000000-0005-0000-0000-00009B0F0000}"/>
    <cellStyle name="Comma 7 3 3 3 2" xfId="5105" xr:uid="{00000000-0005-0000-0000-00009C0F0000}"/>
    <cellStyle name="Comma 7 3 3 4" xfId="5106" xr:uid="{00000000-0005-0000-0000-00009D0F0000}"/>
    <cellStyle name="Comma 7 3 3 5" xfId="2756" xr:uid="{00000000-0005-0000-0000-00009E0F0000}"/>
    <cellStyle name="Comma 7 3 4" xfId="801" xr:uid="{00000000-0005-0000-0000-00009F0F0000}"/>
    <cellStyle name="Comma 7 3 4 2" xfId="802" xr:uid="{00000000-0005-0000-0000-0000A00F0000}"/>
    <cellStyle name="Comma 7 3 4 2 2" xfId="2317" xr:uid="{00000000-0005-0000-0000-0000A10F0000}"/>
    <cellStyle name="Comma 7 3 4 2 2 2" xfId="5107" xr:uid="{00000000-0005-0000-0000-0000A20F0000}"/>
    <cellStyle name="Comma 7 3 4 2 3" xfId="5108" xr:uid="{00000000-0005-0000-0000-0000A30F0000}"/>
    <cellStyle name="Comma 7 3 4 2 4" xfId="3477" xr:uid="{00000000-0005-0000-0000-0000A40F0000}"/>
    <cellStyle name="Comma 7 3 4 3" xfId="1743" xr:uid="{00000000-0005-0000-0000-0000A50F0000}"/>
    <cellStyle name="Comma 7 3 4 3 2" xfId="5109" xr:uid="{00000000-0005-0000-0000-0000A60F0000}"/>
    <cellStyle name="Comma 7 3 4 4" xfId="5110" xr:uid="{00000000-0005-0000-0000-0000A70F0000}"/>
    <cellStyle name="Comma 7 3 4 5" xfId="2902" xr:uid="{00000000-0005-0000-0000-0000A80F0000}"/>
    <cellStyle name="Comma 7 3 5" xfId="803" xr:uid="{00000000-0005-0000-0000-0000A90F0000}"/>
    <cellStyle name="Comma 7 3 5 2" xfId="1892" xr:uid="{00000000-0005-0000-0000-0000AA0F0000}"/>
    <cellStyle name="Comma 7 3 5 2 2" xfId="5111" xr:uid="{00000000-0005-0000-0000-0000AB0F0000}"/>
    <cellStyle name="Comma 7 3 5 3" xfId="5112" xr:uid="{00000000-0005-0000-0000-0000AC0F0000}"/>
    <cellStyle name="Comma 7 3 5 4" xfId="3052" xr:uid="{00000000-0005-0000-0000-0000AD0F0000}"/>
    <cellStyle name="Comma 7 3 6" xfId="1317" xr:uid="{00000000-0005-0000-0000-0000AE0F0000}"/>
    <cellStyle name="Comma 7 3 6 2" xfId="5113" xr:uid="{00000000-0005-0000-0000-0000AF0F0000}"/>
    <cellStyle name="Comma 7 3 7" xfId="5114" xr:uid="{00000000-0005-0000-0000-0000B00F0000}"/>
    <cellStyle name="Comma 7 3 8" xfId="2476" xr:uid="{00000000-0005-0000-0000-0000B10F0000}"/>
    <cellStyle name="Comma 7 4" xfId="804" xr:uid="{00000000-0005-0000-0000-0000B20F0000}"/>
    <cellStyle name="Comma 7 4 2" xfId="805" xr:uid="{00000000-0005-0000-0000-0000B30F0000}"/>
    <cellStyle name="Comma 7 4 2 2" xfId="1921" xr:uid="{00000000-0005-0000-0000-0000B40F0000}"/>
    <cellStyle name="Comma 7 4 2 2 2" xfId="5115" xr:uid="{00000000-0005-0000-0000-0000B50F0000}"/>
    <cellStyle name="Comma 7 4 2 3" xfId="5116" xr:uid="{00000000-0005-0000-0000-0000B60F0000}"/>
    <cellStyle name="Comma 7 4 2 4" xfId="3081" xr:uid="{00000000-0005-0000-0000-0000B70F0000}"/>
    <cellStyle name="Comma 7 4 3" xfId="1346" xr:uid="{00000000-0005-0000-0000-0000B80F0000}"/>
    <cellStyle name="Comma 7 4 3 2" xfId="5117" xr:uid="{00000000-0005-0000-0000-0000B90F0000}"/>
    <cellStyle name="Comma 7 4 4" xfId="5118" xr:uid="{00000000-0005-0000-0000-0000BA0F0000}"/>
    <cellStyle name="Comma 7 4 5" xfId="2505" xr:uid="{00000000-0005-0000-0000-0000BB0F0000}"/>
    <cellStyle name="Comma 7 5" xfId="806" xr:uid="{00000000-0005-0000-0000-0000BC0F0000}"/>
    <cellStyle name="Comma 7 5 2" xfId="807" xr:uid="{00000000-0005-0000-0000-0000BD0F0000}"/>
    <cellStyle name="Comma 7 5 2 2" xfId="2056" xr:uid="{00000000-0005-0000-0000-0000BE0F0000}"/>
    <cellStyle name="Comma 7 5 2 2 2" xfId="5119" xr:uid="{00000000-0005-0000-0000-0000BF0F0000}"/>
    <cellStyle name="Comma 7 5 2 3" xfId="5120" xr:uid="{00000000-0005-0000-0000-0000C00F0000}"/>
    <cellStyle name="Comma 7 5 2 4" xfId="3216" xr:uid="{00000000-0005-0000-0000-0000C10F0000}"/>
    <cellStyle name="Comma 7 5 3" xfId="1482" xr:uid="{00000000-0005-0000-0000-0000C20F0000}"/>
    <cellStyle name="Comma 7 5 3 2" xfId="5121" xr:uid="{00000000-0005-0000-0000-0000C30F0000}"/>
    <cellStyle name="Comma 7 5 4" xfId="5122" xr:uid="{00000000-0005-0000-0000-0000C40F0000}"/>
    <cellStyle name="Comma 7 5 5" xfId="2641" xr:uid="{00000000-0005-0000-0000-0000C50F0000}"/>
    <cellStyle name="Comma 7 6" xfId="808" xr:uid="{00000000-0005-0000-0000-0000C60F0000}"/>
    <cellStyle name="Comma 7 6 2" xfId="809" xr:uid="{00000000-0005-0000-0000-0000C70F0000}"/>
    <cellStyle name="Comma 7 6 2 2" xfId="2202" xr:uid="{00000000-0005-0000-0000-0000C80F0000}"/>
    <cellStyle name="Comma 7 6 2 2 2" xfId="5123" xr:uid="{00000000-0005-0000-0000-0000C90F0000}"/>
    <cellStyle name="Comma 7 6 2 3" xfId="5124" xr:uid="{00000000-0005-0000-0000-0000CA0F0000}"/>
    <cellStyle name="Comma 7 6 2 4" xfId="3362" xr:uid="{00000000-0005-0000-0000-0000CB0F0000}"/>
    <cellStyle name="Comma 7 6 3" xfId="1628" xr:uid="{00000000-0005-0000-0000-0000CC0F0000}"/>
    <cellStyle name="Comma 7 6 3 2" xfId="5125" xr:uid="{00000000-0005-0000-0000-0000CD0F0000}"/>
    <cellStyle name="Comma 7 6 4" xfId="5126" xr:uid="{00000000-0005-0000-0000-0000CE0F0000}"/>
    <cellStyle name="Comma 7 6 5" xfId="2787" xr:uid="{00000000-0005-0000-0000-0000CF0F0000}"/>
    <cellStyle name="Comma 7 7" xfId="810" xr:uid="{00000000-0005-0000-0000-0000D00F0000}"/>
    <cellStyle name="Comma 7 7 2" xfId="1777" xr:uid="{00000000-0005-0000-0000-0000D10F0000}"/>
    <cellStyle name="Comma 7 7 2 2" xfId="5127" xr:uid="{00000000-0005-0000-0000-0000D20F0000}"/>
    <cellStyle name="Comma 7 7 3" xfId="5128" xr:uid="{00000000-0005-0000-0000-0000D30F0000}"/>
    <cellStyle name="Comma 7 7 4" xfId="2937" xr:uid="{00000000-0005-0000-0000-0000D40F0000}"/>
    <cellStyle name="Comma 7 8" xfId="1202" xr:uid="{00000000-0005-0000-0000-0000D50F0000}"/>
    <cellStyle name="Comma 7 8 2" xfId="5129" xr:uid="{00000000-0005-0000-0000-0000D60F0000}"/>
    <cellStyle name="Comma 7 9" xfId="5130" xr:uid="{00000000-0005-0000-0000-0000D70F0000}"/>
    <cellStyle name="Comma 8" xfId="811" xr:uid="{00000000-0005-0000-0000-0000D80F0000}"/>
    <cellStyle name="Comma 8 10" xfId="2362" xr:uid="{00000000-0005-0000-0000-0000D90F0000}"/>
    <cellStyle name="Comma 8 2" xfId="812" xr:uid="{00000000-0005-0000-0000-0000DA0F0000}"/>
    <cellStyle name="Comma 8 2 2" xfId="813" xr:uid="{00000000-0005-0000-0000-0000DB0F0000}"/>
    <cellStyle name="Comma 8 2 2 2" xfId="814" xr:uid="{00000000-0005-0000-0000-0000DC0F0000}"/>
    <cellStyle name="Comma 8 2 2 2 2" xfId="1968" xr:uid="{00000000-0005-0000-0000-0000DD0F0000}"/>
    <cellStyle name="Comma 8 2 2 2 2 2" xfId="5131" xr:uid="{00000000-0005-0000-0000-0000DE0F0000}"/>
    <cellStyle name="Comma 8 2 2 2 3" xfId="5132" xr:uid="{00000000-0005-0000-0000-0000DF0F0000}"/>
    <cellStyle name="Comma 8 2 2 2 4" xfId="3128" xr:uid="{00000000-0005-0000-0000-0000E00F0000}"/>
    <cellStyle name="Comma 8 2 2 3" xfId="1394" xr:uid="{00000000-0005-0000-0000-0000E10F0000}"/>
    <cellStyle name="Comma 8 2 2 3 2" xfId="5133" xr:uid="{00000000-0005-0000-0000-0000E20F0000}"/>
    <cellStyle name="Comma 8 2 2 4" xfId="5134" xr:uid="{00000000-0005-0000-0000-0000E30F0000}"/>
    <cellStyle name="Comma 8 2 2 5" xfId="2553" xr:uid="{00000000-0005-0000-0000-0000E40F0000}"/>
    <cellStyle name="Comma 8 2 3" xfId="815" xr:uid="{00000000-0005-0000-0000-0000E50F0000}"/>
    <cellStyle name="Comma 8 2 3 2" xfId="816" xr:uid="{00000000-0005-0000-0000-0000E60F0000}"/>
    <cellStyle name="Comma 8 2 3 2 2" xfId="2104" xr:uid="{00000000-0005-0000-0000-0000E70F0000}"/>
    <cellStyle name="Comma 8 2 3 2 2 2" xfId="5135" xr:uid="{00000000-0005-0000-0000-0000E80F0000}"/>
    <cellStyle name="Comma 8 2 3 2 3" xfId="5136" xr:uid="{00000000-0005-0000-0000-0000E90F0000}"/>
    <cellStyle name="Comma 8 2 3 2 4" xfId="3264" xr:uid="{00000000-0005-0000-0000-0000EA0F0000}"/>
    <cellStyle name="Comma 8 2 3 3" xfId="1530" xr:uid="{00000000-0005-0000-0000-0000EB0F0000}"/>
    <cellStyle name="Comma 8 2 3 3 2" xfId="5137" xr:uid="{00000000-0005-0000-0000-0000EC0F0000}"/>
    <cellStyle name="Comma 8 2 3 4" xfId="5138" xr:uid="{00000000-0005-0000-0000-0000ED0F0000}"/>
    <cellStyle name="Comma 8 2 3 5" xfId="2689" xr:uid="{00000000-0005-0000-0000-0000EE0F0000}"/>
    <cellStyle name="Comma 8 2 4" xfId="817" xr:uid="{00000000-0005-0000-0000-0000EF0F0000}"/>
    <cellStyle name="Comma 8 2 4 2" xfId="818" xr:uid="{00000000-0005-0000-0000-0000F00F0000}"/>
    <cellStyle name="Comma 8 2 4 2 2" xfId="2250" xr:uid="{00000000-0005-0000-0000-0000F10F0000}"/>
    <cellStyle name="Comma 8 2 4 2 2 2" xfId="5139" xr:uid="{00000000-0005-0000-0000-0000F20F0000}"/>
    <cellStyle name="Comma 8 2 4 2 3" xfId="5140" xr:uid="{00000000-0005-0000-0000-0000F30F0000}"/>
    <cellStyle name="Comma 8 2 4 2 4" xfId="3410" xr:uid="{00000000-0005-0000-0000-0000F40F0000}"/>
    <cellStyle name="Comma 8 2 4 3" xfId="1676" xr:uid="{00000000-0005-0000-0000-0000F50F0000}"/>
    <cellStyle name="Comma 8 2 4 3 2" xfId="5141" xr:uid="{00000000-0005-0000-0000-0000F60F0000}"/>
    <cellStyle name="Comma 8 2 4 4" xfId="5142" xr:uid="{00000000-0005-0000-0000-0000F70F0000}"/>
    <cellStyle name="Comma 8 2 4 5" xfId="2835" xr:uid="{00000000-0005-0000-0000-0000F80F0000}"/>
    <cellStyle name="Comma 8 2 5" xfId="819" xr:uid="{00000000-0005-0000-0000-0000F90F0000}"/>
    <cellStyle name="Comma 8 2 5 2" xfId="1825" xr:uid="{00000000-0005-0000-0000-0000FA0F0000}"/>
    <cellStyle name="Comma 8 2 5 2 2" xfId="5143" xr:uid="{00000000-0005-0000-0000-0000FB0F0000}"/>
    <cellStyle name="Comma 8 2 5 3" xfId="5144" xr:uid="{00000000-0005-0000-0000-0000FC0F0000}"/>
    <cellStyle name="Comma 8 2 5 4" xfId="2985" xr:uid="{00000000-0005-0000-0000-0000FD0F0000}"/>
    <cellStyle name="Comma 8 2 6" xfId="1250" xr:uid="{00000000-0005-0000-0000-0000FE0F0000}"/>
    <cellStyle name="Comma 8 2 6 2" xfId="5145" xr:uid="{00000000-0005-0000-0000-0000FF0F0000}"/>
    <cellStyle name="Comma 8 2 7" xfId="5146" xr:uid="{00000000-0005-0000-0000-000000100000}"/>
    <cellStyle name="Comma 8 2 8" xfId="2409" xr:uid="{00000000-0005-0000-0000-000001100000}"/>
    <cellStyle name="Comma 8 3" xfId="820" xr:uid="{00000000-0005-0000-0000-000002100000}"/>
    <cellStyle name="Comma 8 3 2" xfId="821" xr:uid="{00000000-0005-0000-0000-000003100000}"/>
    <cellStyle name="Comma 8 3 2 2" xfId="822" xr:uid="{00000000-0005-0000-0000-000004100000}"/>
    <cellStyle name="Comma 8 3 2 2 2" xfId="2036" xr:uid="{00000000-0005-0000-0000-000005100000}"/>
    <cellStyle name="Comma 8 3 2 2 2 2" xfId="5147" xr:uid="{00000000-0005-0000-0000-000006100000}"/>
    <cellStyle name="Comma 8 3 2 2 3" xfId="5148" xr:uid="{00000000-0005-0000-0000-000007100000}"/>
    <cellStyle name="Comma 8 3 2 2 4" xfId="3196" xr:uid="{00000000-0005-0000-0000-000008100000}"/>
    <cellStyle name="Comma 8 3 2 3" xfId="1462" xr:uid="{00000000-0005-0000-0000-000009100000}"/>
    <cellStyle name="Comma 8 3 2 3 2" xfId="5149" xr:uid="{00000000-0005-0000-0000-00000A100000}"/>
    <cellStyle name="Comma 8 3 2 4" xfId="5150" xr:uid="{00000000-0005-0000-0000-00000B100000}"/>
    <cellStyle name="Comma 8 3 2 5" xfId="2621" xr:uid="{00000000-0005-0000-0000-00000C100000}"/>
    <cellStyle name="Comma 8 3 3" xfId="823" xr:uid="{00000000-0005-0000-0000-00000D100000}"/>
    <cellStyle name="Comma 8 3 3 2" xfId="824" xr:uid="{00000000-0005-0000-0000-00000E100000}"/>
    <cellStyle name="Comma 8 3 3 2 2" xfId="2172" xr:uid="{00000000-0005-0000-0000-00000F100000}"/>
    <cellStyle name="Comma 8 3 3 2 2 2" xfId="5151" xr:uid="{00000000-0005-0000-0000-000010100000}"/>
    <cellStyle name="Comma 8 3 3 2 3" xfId="5152" xr:uid="{00000000-0005-0000-0000-000011100000}"/>
    <cellStyle name="Comma 8 3 3 2 4" xfId="3332" xr:uid="{00000000-0005-0000-0000-000012100000}"/>
    <cellStyle name="Comma 8 3 3 3" xfId="1598" xr:uid="{00000000-0005-0000-0000-000013100000}"/>
    <cellStyle name="Comma 8 3 3 3 2" xfId="5153" xr:uid="{00000000-0005-0000-0000-000014100000}"/>
    <cellStyle name="Comma 8 3 3 4" xfId="5154" xr:uid="{00000000-0005-0000-0000-000015100000}"/>
    <cellStyle name="Comma 8 3 3 5" xfId="2757" xr:uid="{00000000-0005-0000-0000-000016100000}"/>
    <cellStyle name="Comma 8 3 4" xfId="825" xr:uid="{00000000-0005-0000-0000-000017100000}"/>
    <cellStyle name="Comma 8 3 4 2" xfId="826" xr:uid="{00000000-0005-0000-0000-000018100000}"/>
    <cellStyle name="Comma 8 3 4 2 2" xfId="2318" xr:uid="{00000000-0005-0000-0000-000019100000}"/>
    <cellStyle name="Comma 8 3 4 2 2 2" xfId="5155" xr:uid="{00000000-0005-0000-0000-00001A100000}"/>
    <cellStyle name="Comma 8 3 4 2 3" xfId="5156" xr:uid="{00000000-0005-0000-0000-00001B100000}"/>
    <cellStyle name="Comma 8 3 4 2 4" xfId="3478" xr:uid="{00000000-0005-0000-0000-00001C100000}"/>
    <cellStyle name="Comma 8 3 4 3" xfId="1744" xr:uid="{00000000-0005-0000-0000-00001D100000}"/>
    <cellStyle name="Comma 8 3 4 3 2" xfId="5157" xr:uid="{00000000-0005-0000-0000-00001E100000}"/>
    <cellStyle name="Comma 8 3 4 4" xfId="5158" xr:uid="{00000000-0005-0000-0000-00001F100000}"/>
    <cellStyle name="Comma 8 3 4 5" xfId="2903" xr:uid="{00000000-0005-0000-0000-000020100000}"/>
    <cellStyle name="Comma 8 3 5" xfId="827" xr:uid="{00000000-0005-0000-0000-000021100000}"/>
    <cellStyle name="Comma 8 3 5 2" xfId="1893" xr:uid="{00000000-0005-0000-0000-000022100000}"/>
    <cellStyle name="Comma 8 3 5 2 2" xfId="5159" xr:uid="{00000000-0005-0000-0000-000023100000}"/>
    <cellStyle name="Comma 8 3 5 3" xfId="5160" xr:uid="{00000000-0005-0000-0000-000024100000}"/>
    <cellStyle name="Comma 8 3 5 4" xfId="3053" xr:uid="{00000000-0005-0000-0000-000025100000}"/>
    <cellStyle name="Comma 8 3 6" xfId="1318" xr:uid="{00000000-0005-0000-0000-000026100000}"/>
    <cellStyle name="Comma 8 3 6 2" xfId="5161" xr:uid="{00000000-0005-0000-0000-000027100000}"/>
    <cellStyle name="Comma 8 3 7" xfId="5162" xr:uid="{00000000-0005-0000-0000-000028100000}"/>
    <cellStyle name="Comma 8 3 8" xfId="2477" xr:uid="{00000000-0005-0000-0000-000029100000}"/>
    <cellStyle name="Comma 8 4" xfId="828" xr:uid="{00000000-0005-0000-0000-00002A100000}"/>
    <cellStyle name="Comma 8 4 2" xfId="829" xr:uid="{00000000-0005-0000-0000-00002B100000}"/>
    <cellStyle name="Comma 8 4 2 2" xfId="1922" xr:uid="{00000000-0005-0000-0000-00002C100000}"/>
    <cellStyle name="Comma 8 4 2 2 2" xfId="5163" xr:uid="{00000000-0005-0000-0000-00002D100000}"/>
    <cellStyle name="Comma 8 4 2 3" xfId="5164" xr:uid="{00000000-0005-0000-0000-00002E100000}"/>
    <cellStyle name="Comma 8 4 2 4" xfId="3082" xr:uid="{00000000-0005-0000-0000-00002F100000}"/>
    <cellStyle name="Comma 8 4 3" xfId="1347" xr:uid="{00000000-0005-0000-0000-000030100000}"/>
    <cellStyle name="Comma 8 4 3 2" xfId="5165" xr:uid="{00000000-0005-0000-0000-000031100000}"/>
    <cellStyle name="Comma 8 4 4" xfId="5166" xr:uid="{00000000-0005-0000-0000-000032100000}"/>
    <cellStyle name="Comma 8 4 5" xfId="2506" xr:uid="{00000000-0005-0000-0000-000033100000}"/>
    <cellStyle name="Comma 8 5" xfId="830" xr:uid="{00000000-0005-0000-0000-000034100000}"/>
    <cellStyle name="Comma 8 5 2" xfId="831" xr:uid="{00000000-0005-0000-0000-000035100000}"/>
    <cellStyle name="Comma 8 5 2 2" xfId="2057" xr:uid="{00000000-0005-0000-0000-000036100000}"/>
    <cellStyle name="Comma 8 5 2 2 2" xfId="5167" xr:uid="{00000000-0005-0000-0000-000037100000}"/>
    <cellStyle name="Comma 8 5 2 3" xfId="5168" xr:uid="{00000000-0005-0000-0000-000038100000}"/>
    <cellStyle name="Comma 8 5 2 4" xfId="3217" xr:uid="{00000000-0005-0000-0000-000039100000}"/>
    <cellStyle name="Comma 8 5 3" xfId="1483" xr:uid="{00000000-0005-0000-0000-00003A100000}"/>
    <cellStyle name="Comma 8 5 3 2" xfId="5169" xr:uid="{00000000-0005-0000-0000-00003B100000}"/>
    <cellStyle name="Comma 8 5 4" xfId="5170" xr:uid="{00000000-0005-0000-0000-00003C100000}"/>
    <cellStyle name="Comma 8 5 5" xfId="2642" xr:uid="{00000000-0005-0000-0000-00003D100000}"/>
    <cellStyle name="Comma 8 6" xfId="832" xr:uid="{00000000-0005-0000-0000-00003E100000}"/>
    <cellStyle name="Comma 8 6 2" xfId="833" xr:uid="{00000000-0005-0000-0000-00003F100000}"/>
    <cellStyle name="Comma 8 6 2 2" xfId="2203" xr:uid="{00000000-0005-0000-0000-000040100000}"/>
    <cellStyle name="Comma 8 6 2 2 2" xfId="5171" xr:uid="{00000000-0005-0000-0000-000041100000}"/>
    <cellStyle name="Comma 8 6 2 3" xfId="5172" xr:uid="{00000000-0005-0000-0000-000042100000}"/>
    <cellStyle name="Comma 8 6 2 4" xfId="3363" xr:uid="{00000000-0005-0000-0000-000043100000}"/>
    <cellStyle name="Comma 8 6 3" xfId="1629" xr:uid="{00000000-0005-0000-0000-000044100000}"/>
    <cellStyle name="Comma 8 6 3 2" xfId="5173" xr:uid="{00000000-0005-0000-0000-000045100000}"/>
    <cellStyle name="Comma 8 6 4" xfId="5174" xr:uid="{00000000-0005-0000-0000-000046100000}"/>
    <cellStyle name="Comma 8 6 5" xfId="2788" xr:uid="{00000000-0005-0000-0000-000047100000}"/>
    <cellStyle name="Comma 8 7" xfId="834" xr:uid="{00000000-0005-0000-0000-000048100000}"/>
    <cellStyle name="Comma 8 7 2" xfId="1778" xr:uid="{00000000-0005-0000-0000-000049100000}"/>
    <cellStyle name="Comma 8 7 2 2" xfId="5175" xr:uid="{00000000-0005-0000-0000-00004A100000}"/>
    <cellStyle name="Comma 8 7 3" xfId="5176" xr:uid="{00000000-0005-0000-0000-00004B100000}"/>
    <cellStyle name="Comma 8 7 4" xfId="2938" xr:uid="{00000000-0005-0000-0000-00004C100000}"/>
    <cellStyle name="Comma 8 8" xfId="1203" xr:uid="{00000000-0005-0000-0000-00004D100000}"/>
    <cellStyle name="Comma 8 8 2" xfId="5177" xr:uid="{00000000-0005-0000-0000-00004E100000}"/>
    <cellStyle name="Comma 8 9" xfId="5178" xr:uid="{00000000-0005-0000-0000-00004F100000}"/>
    <cellStyle name="Comma 9" xfId="835" xr:uid="{00000000-0005-0000-0000-000050100000}"/>
    <cellStyle name="Comma 9 10" xfId="2363" xr:uid="{00000000-0005-0000-0000-000051100000}"/>
    <cellStyle name="Comma 9 2" xfId="836" xr:uid="{00000000-0005-0000-0000-000052100000}"/>
    <cellStyle name="Comma 9 2 2" xfId="837" xr:uid="{00000000-0005-0000-0000-000053100000}"/>
    <cellStyle name="Comma 9 2 2 2" xfId="838" xr:uid="{00000000-0005-0000-0000-000054100000}"/>
    <cellStyle name="Comma 9 2 2 2 2" xfId="1969" xr:uid="{00000000-0005-0000-0000-000055100000}"/>
    <cellStyle name="Comma 9 2 2 2 2 2" xfId="5179" xr:uid="{00000000-0005-0000-0000-000056100000}"/>
    <cellStyle name="Comma 9 2 2 2 3" xfId="5180" xr:uid="{00000000-0005-0000-0000-000057100000}"/>
    <cellStyle name="Comma 9 2 2 2 4" xfId="3129" xr:uid="{00000000-0005-0000-0000-000058100000}"/>
    <cellStyle name="Comma 9 2 2 3" xfId="1395" xr:uid="{00000000-0005-0000-0000-000059100000}"/>
    <cellStyle name="Comma 9 2 2 3 2" xfId="5181" xr:uid="{00000000-0005-0000-0000-00005A100000}"/>
    <cellStyle name="Comma 9 2 2 4" xfId="5182" xr:uid="{00000000-0005-0000-0000-00005B100000}"/>
    <cellStyle name="Comma 9 2 2 5" xfId="2554" xr:uid="{00000000-0005-0000-0000-00005C100000}"/>
    <cellStyle name="Comma 9 2 3" xfId="839" xr:uid="{00000000-0005-0000-0000-00005D100000}"/>
    <cellStyle name="Comma 9 2 3 2" xfId="840" xr:uid="{00000000-0005-0000-0000-00005E100000}"/>
    <cellStyle name="Comma 9 2 3 2 2" xfId="2105" xr:uid="{00000000-0005-0000-0000-00005F100000}"/>
    <cellStyle name="Comma 9 2 3 2 2 2" xfId="5183" xr:uid="{00000000-0005-0000-0000-000060100000}"/>
    <cellStyle name="Comma 9 2 3 2 3" xfId="5184" xr:uid="{00000000-0005-0000-0000-000061100000}"/>
    <cellStyle name="Comma 9 2 3 2 4" xfId="3265" xr:uid="{00000000-0005-0000-0000-000062100000}"/>
    <cellStyle name="Comma 9 2 3 3" xfId="1531" xr:uid="{00000000-0005-0000-0000-000063100000}"/>
    <cellStyle name="Comma 9 2 3 3 2" xfId="5185" xr:uid="{00000000-0005-0000-0000-000064100000}"/>
    <cellStyle name="Comma 9 2 3 4" xfId="5186" xr:uid="{00000000-0005-0000-0000-000065100000}"/>
    <cellStyle name="Comma 9 2 3 5" xfId="2690" xr:uid="{00000000-0005-0000-0000-000066100000}"/>
    <cellStyle name="Comma 9 2 4" xfId="841" xr:uid="{00000000-0005-0000-0000-000067100000}"/>
    <cellStyle name="Comma 9 2 4 2" xfId="842" xr:uid="{00000000-0005-0000-0000-000068100000}"/>
    <cellStyle name="Comma 9 2 4 2 2" xfId="2251" xr:uid="{00000000-0005-0000-0000-000069100000}"/>
    <cellStyle name="Comma 9 2 4 2 2 2" xfId="5187" xr:uid="{00000000-0005-0000-0000-00006A100000}"/>
    <cellStyle name="Comma 9 2 4 2 3" xfId="5188" xr:uid="{00000000-0005-0000-0000-00006B100000}"/>
    <cellStyle name="Comma 9 2 4 2 4" xfId="3411" xr:uid="{00000000-0005-0000-0000-00006C100000}"/>
    <cellStyle name="Comma 9 2 4 3" xfId="1677" xr:uid="{00000000-0005-0000-0000-00006D100000}"/>
    <cellStyle name="Comma 9 2 4 3 2" xfId="5189" xr:uid="{00000000-0005-0000-0000-00006E100000}"/>
    <cellStyle name="Comma 9 2 4 4" xfId="5190" xr:uid="{00000000-0005-0000-0000-00006F100000}"/>
    <cellStyle name="Comma 9 2 4 5" xfId="2836" xr:uid="{00000000-0005-0000-0000-000070100000}"/>
    <cellStyle name="Comma 9 2 5" xfId="843" xr:uid="{00000000-0005-0000-0000-000071100000}"/>
    <cellStyle name="Comma 9 2 5 2" xfId="1826" xr:uid="{00000000-0005-0000-0000-000072100000}"/>
    <cellStyle name="Comma 9 2 5 2 2" xfId="5191" xr:uid="{00000000-0005-0000-0000-000073100000}"/>
    <cellStyle name="Comma 9 2 5 3" xfId="5192" xr:uid="{00000000-0005-0000-0000-000074100000}"/>
    <cellStyle name="Comma 9 2 5 4" xfId="2986" xr:uid="{00000000-0005-0000-0000-000075100000}"/>
    <cellStyle name="Comma 9 2 6" xfId="1251" xr:uid="{00000000-0005-0000-0000-000076100000}"/>
    <cellStyle name="Comma 9 2 6 2" xfId="5193" xr:uid="{00000000-0005-0000-0000-000077100000}"/>
    <cellStyle name="Comma 9 2 7" xfId="5194" xr:uid="{00000000-0005-0000-0000-000078100000}"/>
    <cellStyle name="Comma 9 2 8" xfId="2410" xr:uid="{00000000-0005-0000-0000-000079100000}"/>
    <cellStyle name="Comma 9 3" xfId="844" xr:uid="{00000000-0005-0000-0000-00007A100000}"/>
    <cellStyle name="Comma 9 3 2" xfId="845" xr:uid="{00000000-0005-0000-0000-00007B100000}"/>
    <cellStyle name="Comma 9 3 2 2" xfId="846" xr:uid="{00000000-0005-0000-0000-00007C100000}"/>
    <cellStyle name="Comma 9 3 2 2 2" xfId="2037" xr:uid="{00000000-0005-0000-0000-00007D100000}"/>
    <cellStyle name="Comma 9 3 2 2 2 2" xfId="5195" xr:uid="{00000000-0005-0000-0000-00007E100000}"/>
    <cellStyle name="Comma 9 3 2 2 3" xfId="5196" xr:uid="{00000000-0005-0000-0000-00007F100000}"/>
    <cellStyle name="Comma 9 3 2 2 4" xfId="3197" xr:uid="{00000000-0005-0000-0000-000080100000}"/>
    <cellStyle name="Comma 9 3 2 3" xfId="1463" xr:uid="{00000000-0005-0000-0000-000081100000}"/>
    <cellStyle name="Comma 9 3 2 3 2" xfId="5197" xr:uid="{00000000-0005-0000-0000-000082100000}"/>
    <cellStyle name="Comma 9 3 2 4" xfId="5198" xr:uid="{00000000-0005-0000-0000-000083100000}"/>
    <cellStyle name="Comma 9 3 2 5" xfId="2622" xr:uid="{00000000-0005-0000-0000-000084100000}"/>
    <cellStyle name="Comma 9 3 3" xfId="847" xr:uid="{00000000-0005-0000-0000-000085100000}"/>
    <cellStyle name="Comma 9 3 3 2" xfId="848" xr:uid="{00000000-0005-0000-0000-000086100000}"/>
    <cellStyle name="Comma 9 3 3 2 2" xfId="2173" xr:uid="{00000000-0005-0000-0000-000087100000}"/>
    <cellStyle name="Comma 9 3 3 2 2 2" xfId="5199" xr:uid="{00000000-0005-0000-0000-000088100000}"/>
    <cellStyle name="Comma 9 3 3 2 3" xfId="5200" xr:uid="{00000000-0005-0000-0000-000089100000}"/>
    <cellStyle name="Comma 9 3 3 2 4" xfId="3333" xr:uid="{00000000-0005-0000-0000-00008A100000}"/>
    <cellStyle name="Comma 9 3 3 3" xfId="1599" xr:uid="{00000000-0005-0000-0000-00008B100000}"/>
    <cellStyle name="Comma 9 3 3 3 2" xfId="5201" xr:uid="{00000000-0005-0000-0000-00008C100000}"/>
    <cellStyle name="Comma 9 3 3 4" xfId="5202" xr:uid="{00000000-0005-0000-0000-00008D100000}"/>
    <cellStyle name="Comma 9 3 3 5" xfId="2758" xr:uid="{00000000-0005-0000-0000-00008E100000}"/>
    <cellStyle name="Comma 9 3 4" xfId="849" xr:uid="{00000000-0005-0000-0000-00008F100000}"/>
    <cellStyle name="Comma 9 3 4 2" xfId="850" xr:uid="{00000000-0005-0000-0000-000090100000}"/>
    <cellStyle name="Comma 9 3 4 2 2" xfId="2319" xr:uid="{00000000-0005-0000-0000-000091100000}"/>
    <cellStyle name="Comma 9 3 4 2 2 2" xfId="5203" xr:uid="{00000000-0005-0000-0000-000092100000}"/>
    <cellStyle name="Comma 9 3 4 2 3" xfId="5204" xr:uid="{00000000-0005-0000-0000-000093100000}"/>
    <cellStyle name="Comma 9 3 4 2 4" xfId="3479" xr:uid="{00000000-0005-0000-0000-000094100000}"/>
    <cellStyle name="Comma 9 3 4 3" xfId="1745" xr:uid="{00000000-0005-0000-0000-000095100000}"/>
    <cellStyle name="Comma 9 3 4 3 2" xfId="5205" xr:uid="{00000000-0005-0000-0000-000096100000}"/>
    <cellStyle name="Comma 9 3 4 4" xfId="5206" xr:uid="{00000000-0005-0000-0000-000097100000}"/>
    <cellStyle name="Comma 9 3 4 5" xfId="2904" xr:uid="{00000000-0005-0000-0000-000098100000}"/>
    <cellStyle name="Comma 9 3 5" xfId="851" xr:uid="{00000000-0005-0000-0000-000099100000}"/>
    <cellStyle name="Comma 9 3 5 2" xfId="1894" xr:uid="{00000000-0005-0000-0000-00009A100000}"/>
    <cellStyle name="Comma 9 3 5 2 2" xfId="5207" xr:uid="{00000000-0005-0000-0000-00009B100000}"/>
    <cellStyle name="Comma 9 3 5 3" xfId="5208" xr:uid="{00000000-0005-0000-0000-00009C100000}"/>
    <cellStyle name="Comma 9 3 5 4" xfId="3054" xr:uid="{00000000-0005-0000-0000-00009D100000}"/>
    <cellStyle name="Comma 9 3 6" xfId="1319" xr:uid="{00000000-0005-0000-0000-00009E100000}"/>
    <cellStyle name="Comma 9 3 6 2" xfId="5209" xr:uid="{00000000-0005-0000-0000-00009F100000}"/>
    <cellStyle name="Comma 9 3 7" xfId="5210" xr:uid="{00000000-0005-0000-0000-0000A0100000}"/>
    <cellStyle name="Comma 9 3 8" xfId="2478" xr:uid="{00000000-0005-0000-0000-0000A1100000}"/>
    <cellStyle name="Comma 9 4" xfId="852" xr:uid="{00000000-0005-0000-0000-0000A2100000}"/>
    <cellStyle name="Comma 9 4 2" xfId="853" xr:uid="{00000000-0005-0000-0000-0000A3100000}"/>
    <cellStyle name="Comma 9 4 2 2" xfId="1923" xr:uid="{00000000-0005-0000-0000-0000A4100000}"/>
    <cellStyle name="Comma 9 4 2 2 2" xfId="5211" xr:uid="{00000000-0005-0000-0000-0000A5100000}"/>
    <cellStyle name="Comma 9 4 2 3" xfId="5212" xr:uid="{00000000-0005-0000-0000-0000A6100000}"/>
    <cellStyle name="Comma 9 4 2 4" xfId="3083" xr:uid="{00000000-0005-0000-0000-0000A7100000}"/>
    <cellStyle name="Comma 9 4 3" xfId="1348" xr:uid="{00000000-0005-0000-0000-0000A8100000}"/>
    <cellStyle name="Comma 9 4 3 2" xfId="5213" xr:uid="{00000000-0005-0000-0000-0000A9100000}"/>
    <cellStyle name="Comma 9 4 4" xfId="5214" xr:uid="{00000000-0005-0000-0000-0000AA100000}"/>
    <cellStyle name="Comma 9 4 5" xfId="2507" xr:uid="{00000000-0005-0000-0000-0000AB100000}"/>
    <cellStyle name="Comma 9 5" xfId="854" xr:uid="{00000000-0005-0000-0000-0000AC100000}"/>
    <cellStyle name="Comma 9 5 2" xfId="855" xr:uid="{00000000-0005-0000-0000-0000AD100000}"/>
    <cellStyle name="Comma 9 5 2 2" xfId="2058" xr:uid="{00000000-0005-0000-0000-0000AE100000}"/>
    <cellStyle name="Comma 9 5 2 2 2" xfId="5215" xr:uid="{00000000-0005-0000-0000-0000AF100000}"/>
    <cellStyle name="Comma 9 5 2 3" xfId="5216" xr:uid="{00000000-0005-0000-0000-0000B0100000}"/>
    <cellStyle name="Comma 9 5 2 4" xfId="3218" xr:uid="{00000000-0005-0000-0000-0000B1100000}"/>
    <cellStyle name="Comma 9 5 3" xfId="1484" xr:uid="{00000000-0005-0000-0000-0000B2100000}"/>
    <cellStyle name="Comma 9 5 3 2" xfId="5217" xr:uid="{00000000-0005-0000-0000-0000B3100000}"/>
    <cellStyle name="Comma 9 5 4" xfId="5218" xr:uid="{00000000-0005-0000-0000-0000B4100000}"/>
    <cellStyle name="Comma 9 5 5" xfId="2643" xr:uid="{00000000-0005-0000-0000-0000B5100000}"/>
    <cellStyle name="Comma 9 6" xfId="856" xr:uid="{00000000-0005-0000-0000-0000B6100000}"/>
    <cellStyle name="Comma 9 6 2" xfId="857" xr:uid="{00000000-0005-0000-0000-0000B7100000}"/>
    <cellStyle name="Comma 9 6 2 2" xfId="2204" xr:uid="{00000000-0005-0000-0000-0000B8100000}"/>
    <cellStyle name="Comma 9 6 2 2 2" xfId="5219" xr:uid="{00000000-0005-0000-0000-0000B9100000}"/>
    <cellStyle name="Comma 9 6 2 3" xfId="5220" xr:uid="{00000000-0005-0000-0000-0000BA100000}"/>
    <cellStyle name="Comma 9 6 2 4" xfId="3364" xr:uid="{00000000-0005-0000-0000-0000BB100000}"/>
    <cellStyle name="Comma 9 6 3" xfId="1630" xr:uid="{00000000-0005-0000-0000-0000BC100000}"/>
    <cellStyle name="Comma 9 6 3 2" xfId="5221" xr:uid="{00000000-0005-0000-0000-0000BD100000}"/>
    <cellStyle name="Comma 9 6 4" xfId="5222" xr:uid="{00000000-0005-0000-0000-0000BE100000}"/>
    <cellStyle name="Comma 9 6 5" xfId="2789" xr:uid="{00000000-0005-0000-0000-0000BF100000}"/>
    <cellStyle name="Comma 9 7" xfId="858" xr:uid="{00000000-0005-0000-0000-0000C0100000}"/>
    <cellStyle name="Comma 9 7 2" xfId="1779" xr:uid="{00000000-0005-0000-0000-0000C1100000}"/>
    <cellStyle name="Comma 9 7 2 2" xfId="5223" xr:uid="{00000000-0005-0000-0000-0000C2100000}"/>
    <cellStyle name="Comma 9 7 3" xfId="5224" xr:uid="{00000000-0005-0000-0000-0000C3100000}"/>
    <cellStyle name="Comma 9 7 4" xfId="2939" xr:uid="{00000000-0005-0000-0000-0000C4100000}"/>
    <cellStyle name="Comma 9 8" xfId="1204" xr:uid="{00000000-0005-0000-0000-0000C5100000}"/>
    <cellStyle name="Comma 9 8 2" xfId="5225" xr:uid="{00000000-0005-0000-0000-0000C6100000}"/>
    <cellStyle name="Comma 9 9" xfId="5226" xr:uid="{00000000-0005-0000-0000-0000C7100000}"/>
    <cellStyle name="Currency" xfId="5882" builtinId="4"/>
    <cellStyle name="Currency 2" xfId="859" xr:uid="{00000000-0005-0000-0000-0000C8100000}"/>
    <cellStyle name="Currency 2 2" xfId="860" xr:uid="{00000000-0005-0000-0000-0000C9100000}"/>
    <cellStyle name="Currency 2 2 2" xfId="861" xr:uid="{00000000-0005-0000-0000-0000CA100000}"/>
    <cellStyle name="Currency 2 2 2 2" xfId="2047" xr:uid="{00000000-0005-0000-0000-0000CB100000}"/>
    <cellStyle name="Currency 2 2 2 2 2" xfId="5227" xr:uid="{00000000-0005-0000-0000-0000CC100000}"/>
    <cellStyle name="Currency 2 2 2 3" xfId="5228" xr:uid="{00000000-0005-0000-0000-0000CD100000}"/>
    <cellStyle name="Currency 2 2 2 4" xfId="3207" xr:uid="{00000000-0005-0000-0000-0000CE100000}"/>
    <cellStyle name="Currency 2 2 3" xfId="1473" xr:uid="{00000000-0005-0000-0000-0000CF100000}"/>
    <cellStyle name="Currency 2 2 3 2" xfId="5229" xr:uid="{00000000-0005-0000-0000-0000D0100000}"/>
    <cellStyle name="Currency 2 2 4" xfId="5230" xr:uid="{00000000-0005-0000-0000-0000D1100000}"/>
    <cellStyle name="Currency 2 2 5" xfId="2632" xr:uid="{00000000-0005-0000-0000-0000D2100000}"/>
    <cellStyle name="Currency 2 3" xfId="862" xr:uid="{00000000-0005-0000-0000-0000D3100000}"/>
    <cellStyle name="Currency 2 3 2" xfId="863" xr:uid="{00000000-0005-0000-0000-0000D4100000}"/>
    <cellStyle name="Currency 2 3 2 2" xfId="2183" xr:uid="{00000000-0005-0000-0000-0000D5100000}"/>
    <cellStyle name="Currency 2 3 2 2 2" xfId="5231" xr:uid="{00000000-0005-0000-0000-0000D6100000}"/>
    <cellStyle name="Currency 2 3 2 3" xfId="5232" xr:uid="{00000000-0005-0000-0000-0000D7100000}"/>
    <cellStyle name="Currency 2 3 2 4" xfId="3343" xr:uid="{00000000-0005-0000-0000-0000D8100000}"/>
    <cellStyle name="Currency 2 3 3" xfId="1609" xr:uid="{00000000-0005-0000-0000-0000D9100000}"/>
    <cellStyle name="Currency 2 3 3 2" xfId="5233" xr:uid="{00000000-0005-0000-0000-0000DA100000}"/>
    <cellStyle name="Currency 2 3 4" xfId="5234" xr:uid="{00000000-0005-0000-0000-0000DB100000}"/>
    <cellStyle name="Currency 2 3 5" xfId="2768" xr:uid="{00000000-0005-0000-0000-0000DC100000}"/>
    <cellStyle name="Currency 2 4" xfId="864" xr:uid="{00000000-0005-0000-0000-0000DD100000}"/>
    <cellStyle name="Currency 2 4 2" xfId="865" xr:uid="{00000000-0005-0000-0000-0000DE100000}"/>
    <cellStyle name="Currency 2 4 2 2" xfId="2329" xr:uid="{00000000-0005-0000-0000-0000DF100000}"/>
    <cellStyle name="Currency 2 4 2 2 2" xfId="5235" xr:uid="{00000000-0005-0000-0000-0000E0100000}"/>
    <cellStyle name="Currency 2 4 2 3" xfId="5236" xr:uid="{00000000-0005-0000-0000-0000E1100000}"/>
    <cellStyle name="Currency 2 4 2 4" xfId="3489" xr:uid="{00000000-0005-0000-0000-0000E2100000}"/>
    <cellStyle name="Currency 2 4 3" xfId="1755" xr:uid="{00000000-0005-0000-0000-0000E3100000}"/>
    <cellStyle name="Currency 2 4 3 2" xfId="5237" xr:uid="{00000000-0005-0000-0000-0000E4100000}"/>
    <cellStyle name="Currency 2 4 4" xfId="5238" xr:uid="{00000000-0005-0000-0000-0000E5100000}"/>
    <cellStyle name="Currency 2 4 5" xfId="2914" xr:uid="{00000000-0005-0000-0000-0000E6100000}"/>
    <cellStyle name="Currency 2 5" xfId="866" xr:uid="{00000000-0005-0000-0000-0000E7100000}"/>
    <cellStyle name="Currency 2 5 2" xfId="1904" xr:uid="{00000000-0005-0000-0000-0000E8100000}"/>
    <cellStyle name="Currency 2 5 2 2" xfId="5239" xr:uid="{00000000-0005-0000-0000-0000E9100000}"/>
    <cellStyle name="Currency 2 5 3" xfId="5240" xr:uid="{00000000-0005-0000-0000-0000EA100000}"/>
    <cellStyle name="Currency 2 5 4" xfId="5241" xr:uid="{00000000-0005-0000-0000-0000EB100000}"/>
    <cellStyle name="Currency 2 5 5" xfId="3064" xr:uid="{00000000-0005-0000-0000-0000EC100000}"/>
    <cellStyle name="Currency 2 6" xfId="867" xr:uid="{00000000-0005-0000-0000-0000ED100000}"/>
    <cellStyle name="Currency 2 6 2" xfId="5242" xr:uid="{00000000-0005-0000-0000-0000EE100000}"/>
    <cellStyle name="Currency 2 7" xfId="1329" xr:uid="{00000000-0005-0000-0000-0000EF100000}"/>
    <cellStyle name="Currency 2 7 2" xfId="5243" xr:uid="{00000000-0005-0000-0000-0000F0100000}"/>
    <cellStyle name="Currency 2 8" xfId="5244" xr:uid="{00000000-0005-0000-0000-0000F1100000}"/>
    <cellStyle name="Currency 2 9" xfId="2488" xr:uid="{00000000-0005-0000-0000-0000F2100000}"/>
    <cellStyle name="Currency 3" xfId="868" xr:uid="{00000000-0005-0000-0000-0000F3100000}"/>
    <cellStyle name="Currency 3 2" xfId="869" xr:uid="{00000000-0005-0000-0000-0000F4100000}"/>
    <cellStyle name="Currency 3 2 2" xfId="2336" xr:uid="{00000000-0005-0000-0000-0000F5100000}"/>
    <cellStyle name="Currency 3 2 2 2" xfId="5245" xr:uid="{00000000-0005-0000-0000-0000F6100000}"/>
    <cellStyle name="Currency 3 2 3" xfId="5246" xr:uid="{00000000-0005-0000-0000-0000F7100000}"/>
    <cellStyle name="Currency 3 2 4" xfId="3494" xr:uid="{00000000-0005-0000-0000-0000F8100000}"/>
    <cellStyle name="Currency 3 3" xfId="1764" xr:uid="{00000000-0005-0000-0000-0000F9100000}"/>
    <cellStyle name="Currency 3 3 2" xfId="5247" xr:uid="{00000000-0005-0000-0000-0000FA100000}"/>
    <cellStyle name="Currency 3 4" xfId="5248" xr:uid="{00000000-0005-0000-0000-0000FB100000}"/>
    <cellStyle name="Currency 3 5" xfId="2923" xr:uid="{00000000-0005-0000-0000-0000FC100000}"/>
    <cellStyle name="Currency 4" xfId="870" xr:uid="{00000000-0005-0000-0000-0000FD100000}"/>
    <cellStyle name="Currency 4 2" xfId="5249" xr:uid="{00000000-0005-0000-0000-0000FE100000}"/>
    <cellStyle name="Currency 5" xfId="1191" xr:uid="{00000000-0005-0000-0000-0000FF100000}"/>
    <cellStyle name="Currency 5 2" xfId="2346" xr:uid="{00000000-0005-0000-0000-000000110000}"/>
    <cellStyle name="Currency 5 2 2" xfId="5250" xr:uid="{00000000-0005-0000-0000-000001110000}"/>
    <cellStyle name="Currency 6" xfId="2927" xr:uid="{00000000-0005-0000-0000-000002110000}"/>
    <cellStyle name="Currency 6 2" xfId="5878" xr:uid="{00000000-0005-0000-0000-000003110000}"/>
    <cellStyle name="Currency 6 3" xfId="5877" xr:uid="{00000000-0005-0000-0000-000004110000}"/>
    <cellStyle name="Currency 6 4" xfId="5873" xr:uid="{00000000-0005-0000-0000-000005110000}"/>
    <cellStyle name="Currency 7" xfId="5869" xr:uid="{00000000-0005-0000-0000-000006110000}"/>
    <cellStyle name="Currency 8" xfId="5885" xr:uid="{1FD3CA8C-0825-4516-8A5A-5229298EA4E0}"/>
    <cellStyle name="Normal" xfId="0" builtinId="0"/>
    <cellStyle name="Normal 10" xfId="871" xr:uid="{00000000-0005-0000-0000-000008110000}"/>
    <cellStyle name="Normal 10 2" xfId="872" xr:uid="{00000000-0005-0000-0000-000009110000}"/>
    <cellStyle name="Normal 10 2 2" xfId="873" xr:uid="{00000000-0005-0000-0000-00000A110000}"/>
    <cellStyle name="Normal 10 2 2 2" xfId="1956" xr:uid="{00000000-0005-0000-0000-00000B110000}"/>
    <cellStyle name="Normal 10 2 2 2 2" xfId="5251" xr:uid="{00000000-0005-0000-0000-00000C110000}"/>
    <cellStyle name="Normal 10 2 2 3" xfId="5252" xr:uid="{00000000-0005-0000-0000-00000D110000}"/>
    <cellStyle name="Normal 10 2 2 4" xfId="3116" xr:uid="{00000000-0005-0000-0000-00000E110000}"/>
    <cellStyle name="Normal 10 2 3" xfId="1382" xr:uid="{00000000-0005-0000-0000-00000F110000}"/>
    <cellStyle name="Normal 10 2 3 2" xfId="5253" xr:uid="{00000000-0005-0000-0000-000010110000}"/>
    <cellStyle name="Normal 10 2 4" xfId="5254" xr:uid="{00000000-0005-0000-0000-000011110000}"/>
    <cellStyle name="Normal 10 2 5" xfId="2541" xr:uid="{00000000-0005-0000-0000-000012110000}"/>
    <cellStyle name="Normal 10 3" xfId="874" xr:uid="{00000000-0005-0000-0000-000013110000}"/>
    <cellStyle name="Normal 10 3 2" xfId="875" xr:uid="{00000000-0005-0000-0000-000014110000}"/>
    <cellStyle name="Normal 10 3 2 2" xfId="2092" xr:uid="{00000000-0005-0000-0000-000015110000}"/>
    <cellStyle name="Normal 10 3 2 2 2" xfId="5255" xr:uid="{00000000-0005-0000-0000-000016110000}"/>
    <cellStyle name="Normal 10 3 2 3" xfId="5256" xr:uid="{00000000-0005-0000-0000-000017110000}"/>
    <cellStyle name="Normal 10 3 2 4" xfId="3252" xr:uid="{00000000-0005-0000-0000-000018110000}"/>
    <cellStyle name="Normal 10 3 3" xfId="1518" xr:uid="{00000000-0005-0000-0000-000019110000}"/>
    <cellStyle name="Normal 10 3 3 2" xfId="5257" xr:uid="{00000000-0005-0000-0000-00001A110000}"/>
    <cellStyle name="Normal 10 3 4" xfId="5258" xr:uid="{00000000-0005-0000-0000-00001B110000}"/>
    <cellStyle name="Normal 10 3 5" xfId="2677" xr:uid="{00000000-0005-0000-0000-00001C110000}"/>
    <cellStyle name="Normal 10 4" xfId="876" xr:uid="{00000000-0005-0000-0000-00001D110000}"/>
    <cellStyle name="Normal 10 4 2" xfId="877" xr:uid="{00000000-0005-0000-0000-00001E110000}"/>
    <cellStyle name="Normal 10 4 2 2" xfId="2238" xr:uid="{00000000-0005-0000-0000-00001F110000}"/>
    <cellStyle name="Normal 10 4 2 2 2" xfId="5259" xr:uid="{00000000-0005-0000-0000-000020110000}"/>
    <cellStyle name="Normal 10 4 2 3" xfId="5260" xr:uid="{00000000-0005-0000-0000-000021110000}"/>
    <cellStyle name="Normal 10 4 2 4" xfId="3398" xr:uid="{00000000-0005-0000-0000-000022110000}"/>
    <cellStyle name="Normal 10 4 3" xfId="1664" xr:uid="{00000000-0005-0000-0000-000023110000}"/>
    <cellStyle name="Normal 10 4 3 2" xfId="5261" xr:uid="{00000000-0005-0000-0000-000024110000}"/>
    <cellStyle name="Normal 10 4 4" xfId="5262" xr:uid="{00000000-0005-0000-0000-000025110000}"/>
    <cellStyle name="Normal 10 4 5" xfId="2823" xr:uid="{00000000-0005-0000-0000-000026110000}"/>
    <cellStyle name="Normal 10 5" xfId="878" xr:uid="{00000000-0005-0000-0000-000027110000}"/>
    <cellStyle name="Normal 10 5 2" xfId="1813" xr:uid="{00000000-0005-0000-0000-000028110000}"/>
    <cellStyle name="Normal 10 5 2 2" xfId="5263" xr:uid="{00000000-0005-0000-0000-000029110000}"/>
    <cellStyle name="Normal 10 5 3" xfId="5264" xr:uid="{00000000-0005-0000-0000-00002A110000}"/>
    <cellStyle name="Normal 10 5 4" xfId="2973" xr:uid="{00000000-0005-0000-0000-00002B110000}"/>
    <cellStyle name="Normal 10 6" xfId="1238" xr:uid="{00000000-0005-0000-0000-00002C110000}"/>
    <cellStyle name="Normal 10 6 2" xfId="5265" xr:uid="{00000000-0005-0000-0000-00002D110000}"/>
    <cellStyle name="Normal 10 7" xfId="5266" xr:uid="{00000000-0005-0000-0000-00002E110000}"/>
    <cellStyle name="Normal 10 8" xfId="2397" xr:uid="{00000000-0005-0000-0000-00002F110000}"/>
    <cellStyle name="Normal 11" xfId="879" xr:uid="{00000000-0005-0000-0000-000030110000}"/>
    <cellStyle name="Normal 11 2" xfId="880" xr:uid="{00000000-0005-0000-0000-000031110000}"/>
    <cellStyle name="Normal 11 2 2" xfId="881" xr:uid="{00000000-0005-0000-0000-000032110000}"/>
    <cellStyle name="Normal 11 2 2 2" xfId="1957" xr:uid="{00000000-0005-0000-0000-000033110000}"/>
    <cellStyle name="Normal 11 2 2 2 2" xfId="5267" xr:uid="{00000000-0005-0000-0000-000034110000}"/>
    <cellStyle name="Normal 11 2 2 3" xfId="5268" xr:uid="{00000000-0005-0000-0000-000035110000}"/>
    <cellStyle name="Normal 11 2 2 4" xfId="3117" xr:uid="{00000000-0005-0000-0000-000036110000}"/>
    <cellStyle name="Normal 11 2 3" xfId="1383" xr:uid="{00000000-0005-0000-0000-000037110000}"/>
    <cellStyle name="Normal 11 2 3 2" xfId="5269" xr:uid="{00000000-0005-0000-0000-000038110000}"/>
    <cellStyle name="Normal 11 2 4" xfId="5270" xr:uid="{00000000-0005-0000-0000-000039110000}"/>
    <cellStyle name="Normal 11 2 5" xfId="2542" xr:uid="{00000000-0005-0000-0000-00003A110000}"/>
    <cellStyle name="Normal 11 3" xfId="882" xr:uid="{00000000-0005-0000-0000-00003B110000}"/>
    <cellStyle name="Normal 11 3 2" xfId="883" xr:uid="{00000000-0005-0000-0000-00003C110000}"/>
    <cellStyle name="Normal 11 3 2 2" xfId="2093" xr:uid="{00000000-0005-0000-0000-00003D110000}"/>
    <cellStyle name="Normal 11 3 2 2 2" xfId="5271" xr:uid="{00000000-0005-0000-0000-00003E110000}"/>
    <cellStyle name="Normal 11 3 2 3" xfId="5272" xr:uid="{00000000-0005-0000-0000-00003F110000}"/>
    <cellStyle name="Normal 11 3 2 4" xfId="3253" xr:uid="{00000000-0005-0000-0000-000040110000}"/>
    <cellStyle name="Normal 11 3 3" xfId="1519" xr:uid="{00000000-0005-0000-0000-000041110000}"/>
    <cellStyle name="Normal 11 3 3 2" xfId="5273" xr:uid="{00000000-0005-0000-0000-000042110000}"/>
    <cellStyle name="Normal 11 3 4" xfId="5274" xr:uid="{00000000-0005-0000-0000-000043110000}"/>
    <cellStyle name="Normal 11 3 5" xfId="2678" xr:uid="{00000000-0005-0000-0000-000044110000}"/>
    <cellStyle name="Normal 11 4" xfId="884" xr:uid="{00000000-0005-0000-0000-000045110000}"/>
    <cellStyle name="Normal 11 4 2" xfId="885" xr:uid="{00000000-0005-0000-0000-000046110000}"/>
    <cellStyle name="Normal 11 4 2 2" xfId="2239" xr:uid="{00000000-0005-0000-0000-000047110000}"/>
    <cellStyle name="Normal 11 4 2 2 2" xfId="5275" xr:uid="{00000000-0005-0000-0000-000048110000}"/>
    <cellStyle name="Normal 11 4 2 3" xfId="5276" xr:uid="{00000000-0005-0000-0000-000049110000}"/>
    <cellStyle name="Normal 11 4 2 4" xfId="3399" xr:uid="{00000000-0005-0000-0000-00004A110000}"/>
    <cellStyle name="Normal 11 4 3" xfId="1665" xr:uid="{00000000-0005-0000-0000-00004B110000}"/>
    <cellStyle name="Normal 11 4 3 2" xfId="5277" xr:uid="{00000000-0005-0000-0000-00004C110000}"/>
    <cellStyle name="Normal 11 4 4" xfId="5278" xr:uid="{00000000-0005-0000-0000-00004D110000}"/>
    <cellStyle name="Normal 11 4 5" xfId="2824" xr:uid="{00000000-0005-0000-0000-00004E110000}"/>
    <cellStyle name="Normal 11 5" xfId="886" xr:uid="{00000000-0005-0000-0000-00004F110000}"/>
    <cellStyle name="Normal 11 5 2" xfId="1814" xr:uid="{00000000-0005-0000-0000-000050110000}"/>
    <cellStyle name="Normal 11 5 2 2" xfId="5279" xr:uid="{00000000-0005-0000-0000-000051110000}"/>
    <cellStyle name="Normal 11 5 3" xfId="5280" xr:uid="{00000000-0005-0000-0000-000052110000}"/>
    <cellStyle name="Normal 11 5 4" xfId="2974" xr:uid="{00000000-0005-0000-0000-000053110000}"/>
    <cellStyle name="Normal 11 6" xfId="1239" xr:uid="{00000000-0005-0000-0000-000054110000}"/>
    <cellStyle name="Normal 11 6 2" xfId="5281" xr:uid="{00000000-0005-0000-0000-000055110000}"/>
    <cellStyle name="Normal 11 7" xfId="5282" xr:uid="{00000000-0005-0000-0000-000056110000}"/>
    <cellStyle name="Normal 11 8" xfId="2398" xr:uid="{00000000-0005-0000-0000-000057110000}"/>
    <cellStyle name="Normal 12" xfId="887" xr:uid="{00000000-0005-0000-0000-000058110000}"/>
    <cellStyle name="Normal 12 2" xfId="888" xr:uid="{00000000-0005-0000-0000-000059110000}"/>
    <cellStyle name="Normal 12 2 2" xfId="889" xr:uid="{00000000-0005-0000-0000-00005A110000}"/>
    <cellStyle name="Normal 12 2 2 2" xfId="1958" xr:uid="{00000000-0005-0000-0000-00005B110000}"/>
    <cellStyle name="Normal 12 2 2 2 2" xfId="5283" xr:uid="{00000000-0005-0000-0000-00005C110000}"/>
    <cellStyle name="Normal 12 2 2 3" xfId="5284" xr:uid="{00000000-0005-0000-0000-00005D110000}"/>
    <cellStyle name="Normal 12 2 2 4" xfId="3118" xr:uid="{00000000-0005-0000-0000-00005E110000}"/>
    <cellStyle name="Normal 12 2 3" xfId="1384" xr:uid="{00000000-0005-0000-0000-00005F110000}"/>
    <cellStyle name="Normal 12 2 3 2" xfId="5285" xr:uid="{00000000-0005-0000-0000-000060110000}"/>
    <cellStyle name="Normal 12 2 4" xfId="5286" xr:uid="{00000000-0005-0000-0000-000061110000}"/>
    <cellStyle name="Normal 12 2 5" xfId="2543" xr:uid="{00000000-0005-0000-0000-000062110000}"/>
    <cellStyle name="Normal 12 3" xfId="890" xr:uid="{00000000-0005-0000-0000-000063110000}"/>
    <cellStyle name="Normal 12 3 2" xfId="891" xr:uid="{00000000-0005-0000-0000-000064110000}"/>
    <cellStyle name="Normal 12 3 2 2" xfId="2094" xr:uid="{00000000-0005-0000-0000-000065110000}"/>
    <cellStyle name="Normal 12 3 2 2 2" xfId="5287" xr:uid="{00000000-0005-0000-0000-000066110000}"/>
    <cellStyle name="Normal 12 3 2 3" xfId="5288" xr:uid="{00000000-0005-0000-0000-000067110000}"/>
    <cellStyle name="Normal 12 3 2 4" xfId="3254" xr:uid="{00000000-0005-0000-0000-000068110000}"/>
    <cellStyle name="Normal 12 3 3" xfId="1520" xr:uid="{00000000-0005-0000-0000-000069110000}"/>
    <cellStyle name="Normal 12 3 3 2" xfId="5289" xr:uid="{00000000-0005-0000-0000-00006A110000}"/>
    <cellStyle name="Normal 12 3 4" xfId="5290" xr:uid="{00000000-0005-0000-0000-00006B110000}"/>
    <cellStyle name="Normal 12 3 5" xfId="2679" xr:uid="{00000000-0005-0000-0000-00006C110000}"/>
    <cellStyle name="Normal 12 4" xfId="892" xr:uid="{00000000-0005-0000-0000-00006D110000}"/>
    <cellStyle name="Normal 12 4 2" xfId="893" xr:uid="{00000000-0005-0000-0000-00006E110000}"/>
    <cellStyle name="Normal 12 4 2 2" xfId="2240" xr:uid="{00000000-0005-0000-0000-00006F110000}"/>
    <cellStyle name="Normal 12 4 2 2 2" xfId="5291" xr:uid="{00000000-0005-0000-0000-000070110000}"/>
    <cellStyle name="Normal 12 4 2 3" xfId="5292" xr:uid="{00000000-0005-0000-0000-000071110000}"/>
    <cellStyle name="Normal 12 4 2 4" xfId="3400" xr:uid="{00000000-0005-0000-0000-000072110000}"/>
    <cellStyle name="Normal 12 4 3" xfId="1666" xr:uid="{00000000-0005-0000-0000-000073110000}"/>
    <cellStyle name="Normal 12 4 3 2" xfId="5293" xr:uid="{00000000-0005-0000-0000-000074110000}"/>
    <cellStyle name="Normal 12 4 4" xfId="5294" xr:uid="{00000000-0005-0000-0000-000075110000}"/>
    <cellStyle name="Normal 12 4 5" xfId="2825" xr:uid="{00000000-0005-0000-0000-000076110000}"/>
    <cellStyle name="Normal 12 5" xfId="894" xr:uid="{00000000-0005-0000-0000-000077110000}"/>
    <cellStyle name="Normal 12 5 2" xfId="1815" xr:uid="{00000000-0005-0000-0000-000078110000}"/>
    <cellStyle name="Normal 12 5 2 2" xfId="5295" xr:uid="{00000000-0005-0000-0000-000079110000}"/>
    <cellStyle name="Normal 12 5 3" xfId="5296" xr:uid="{00000000-0005-0000-0000-00007A110000}"/>
    <cellStyle name="Normal 12 5 4" xfId="2975" xr:uid="{00000000-0005-0000-0000-00007B110000}"/>
    <cellStyle name="Normal 12 6" xfId="1240" xr:uid="{00000000-0005-0000-0000-00007C110000}"/>
    <cellStyle name="Normal 12 6 2" xfId="5297" xr:uid="{00000000-0005-0000-0000-00007D110000}"/>
    <cellStyle name="Normal 12 7" xfId="5298" xr:uid="{00000000-0005-0000-0000-00007E110000}"/>
    <cellStyle name="Normal 12 8" xfId="2399" xr:uid="{00000000-0005-0000-0000-00007F110000}"/>
    <cellStyle name="Normal 13" xfId="895" xr:uid="{00000000-0005-0000-0000-000080110000}"/>
    <cellStyle name="Normal 13 2" xfId="896" xr:uid="{00000000-0005-0000-0000-000081110000}"/>
    <cellStyle name="Normal 13 2 2" xfId="897" xr:uid="{00000000-0005-0000-0000-000082110000}"/>
    <cellStyle name="Normal 13 2 2 2" xfId="1959" xr:uid="{00000000-0005-0000-0000-000083110000}"/>
    <cellStyle name="Normal 13 2 2 2 2" xfId="5299" xr:uid="{00000000-0005-0000-0000-000084110000}"/>
    <cellStyle name="Normal 13 2 2 3" xfId="5300" xr:uid="{00000000-0005-0000-0000-000085110000}"/>
    <cellStyle name="Normal 13 2 2 4" xfId="3119" xr:uid="{00000000-0005-0000-0000-000086110000}"/>
    <cellStyle name="Normal 13 2 3" xfId="1385" xr:uid="{00000000-0005-0000-0000-000087110000}"/>
    <cellStyle name="Normal 13 2 3 2" xfId="5301" xr:uid="{00000000-0005-0000-0000-000088110000}"/>
    <cellStyle name="Normal 13 2 4" xfId="5302" xr:uid="{00000000-0005-0000-0000-000089110000}"/>
    <cellStyle name="Normal 13 2 5" xfId="2544" xr:uid="{00000000-0005-0000-0000-00008A110000}"/>
    <cellStyle name="Normal 13 3" xfId="898" xr:uid="{00000000-0005-0000-0000-00008B110000}"/>
    <cellStyle name="Normal 13 3 2" xfId="899" xr:uid="{00000000-0005-0000-0000-00008C110000}"/>
    <cellStyle name="Normal 13 3 2 2" xfId="2095" xr:uid="{00000000-0005-0000-0000-00008D110000}"/>
    <cellStyle name="Normal 13 3 2 2 2" xfId="5303" xr:uid="{00000000-0005-0000-0000-00008E110000}"/>
    <cellStyle name="Normal 13 3 2 3" xfId="5304" xr:uid="{00000000-0005-0000-0000-00008F110000}"/>
    <cellStyle name="Normal 13 3 2 4" xfId="3255" xr:uid="{00000000-0005-0000-0000-000090110000}"/>
    <cellStyle name="Normal 13 3 3" xfId="1521" xr:uid="{00000000-0005-0000-0000-000091110000}"/>
    <cellStyle name="Normal 13 3 3 2" xfId="5305" xr:uid="{00000000-0005-0000-0000-000092110000}"/>
    <cellStyle name="Normal 13 3 4" xfId="5306" xr:uid="{00000000-0005-0000-0000-000093110000}"/>
    <cellStyle name="Normal 13 3 5" xfId="2680" xr:uid="{00000000-0005-0000-0000-000094110000}"/>
    <cellStyle name="Normal 13 4" xfId="900" xr:uid="{00000000-0005-0000-0000-000095110000}"/>
    <cellStyle name="Normal 13 4 2" xfId="901" xr:uid="{00000000-0005-0000-0000-000096110000}"/>
    <cellStyle name="Normal 13 4 2 2" xfId="2241" xr:uid="{00000000-0005-0000-0000-000097110000}"/>
    <cellStyle name="Normal 13 4 2 2 2" xfId="5307" xr:uid="{00000000-0005-0000-0000-000098110000}"/>
    <cellStyle name="Normal 13 4 2 3" xfId="5308" xr:uid="{00000000-0005-0000-0000-000099110000}"/>
    <cellStyle name="Normal 13 4 2 4" xfId="3401" xr:uid="{00000000-0005-0000-0000-00009A110000}"/>
    <cellStyle name="Normal 13 4 3" xfId="1667" xr:uid="{00000000-0005-0000-0000-00009B110000}"/>
    <cellStyle name="Normal 13 4 3 2" xfId="5309" xr:uid="{00000000-0005-0000-0000-00009C110000}"/>
    <cellStyle name="Normal 13 4 4" xfId="5310" xr:uid="{00000000-0005-0000-0000-00009D110000}"/>
    <cellStyle name="Normal 13 4 5" xfId="2826" xr:uid="{00000000-0005-0000-0000-00009E110000}"/>
    <cellStyle name="Normal 13 5" xfId="902" xr:uid="{00000000-0005-0000-0000-00009F110000}"/>
    <cellStyle name="Normal 13 5 2" xfId="1816" xr:uid="{00000000-0005-0000-0000-0000A0110000}"/>
    <cellStyle name="Normal 13 5 2 2" xfId="5311" xr:uid="{00000000-0005-0000-0000-0000A1110000}"/>
    <cellStyle name="Normal 13 5 3" xfId="5312" xr:uid="{00000000-0005-0000-0000-0000A2110000}"/>
    <cellStyle name="Normal 13 5 4" xfId="2976" xr:uid="{00000000-0005-0000-0000-0000A3110000}"/>
    <cellStyle name="Normal 13 6" xfId="1241" xr:uid="{00000000-0005-0000-0000-0000A4110000}"/>
    <cellStyle name="Normal 13 6 2" xfId="5313" xr:uid="{00000000-0005-0000-0000-0000A5110000}"/>
    <cellStyle name="Normal 13 7" xfId="5314" xr:uid="{00000000-0005-0000-0000-0000A6110000}"/>
    <cellStyle name="Normal 13 8" xfId="2400" xr:uid="{00000000-0005-0000-0000-0000A7110000}"/>
    <cellStyle name="Normal 14" xfId="903" xr:uid="{00000000-0005-0000-0000-0000A8110000}"/>
    <cellStyle name="Normal 14 2" xfId="904" xr:uid="{00000000-0005-0000-0000-0000A9110000}"/>
    <cellStyle name="Normal 14 2 2" xfId="905" xr:uid="{00000000-0005-0000-0000-0000AA110000}"/>
    <cellStyle name="Normal 14 2 2 2" xfId="2001" xr:uid="{00000000-0005-0000-0000-0000AB110000}"/>
    <cellStyle name="Normal 14 2 2 2 2" xfId="5315" xr:uid="{00000000-0005-0000-0000-0000AC110000}"/>
    <cellStyle name="Normal 14 2 2 3" xfId="5316" xr:uid="{00000000-0005-0000-0000-0000AD110000}"/>
    <cellStyle name="Normal 14 2 2 4" xfId="3161" xr:uid="{00000000-0005-0000-0000-0000AE110000}"/>
    <cellStyle name="Normal 14 2 3" xfId="1427" xr:uid="{00000000-0005-0000-0000-0000AF110000}"/>
    <cellStyle name="Normal 14 2 3 2" xfId="5317" xr:uid="{00000000-0005-0000-0000-0000B0110000}"/>
    <cellStyle name="Normal 14 2 4" xfId="5318" xr:uid="{00000000-0005-0000-0000-0000B1110000}"/>
    <cellStyle name="Normal 14 2 5" xfId="2586" xr:uid="{00000000-0005-0000-0000-0000B2110000}"/>
    <cellStyle name="Normal 14 3" xfId="906" xr:uid="{00000000-0005-0000-0000-0000B3110000}"/>
    <cellStyle name="Normal 14 3 2" xfId="907" xr:uid="{00000000-0005-0000-0000-0000B4110000}"/>
    <cellStyle name="Normal 14 3 2 2" xfId="2137" xr:uid="{00000000-0005-0000-0000-0000B5110000}"/>
    <cellStyle name="Normal 14 3 2 2 2" xfId="5319" xr:uid="{00000000-0005-0000-0000-0000B6110000}"/>
    <cellStyle name="Normal 14 3 2 3" xfId="5320" xr:uid="{00000000-0005-0000-0000-0000B7110000}"/>
    <cellStyle name="Normal 14 3 2 4" xfId="3297" xr:uid="{00000000-0005-0000-0000-0000B8110000}"/>
    <cellStyle name="Normal 14 3 3" xfId="1563" xr:uid="{00000000-0005-0000-0000-0000B9110000}"/>
    <cellStyle name="Normal 14 3 3 2" xfId="5321" xr:uid="{00000000-0005-0000-0000-0000BA110000}"/>
    <cellStyle name="Normal 14 3 4" xfId="5322" xr:uid="{00000000-0005-0000-0000-0000BB110000}"/>
    <cellStyle name="Normal 14 3 5" xfId="2722" xr:uid="{00000000-0005-0000-0000-0000BC110000}"/>
    <cellStyle name="Normal 14 4" xfId="908" xr:uid="{00000000-0005-0000-0000-0000BD110000}"/>
    <cellStyle name="Normal 14 4 2" xfId="909" xr:uid="{00000000-0005-0000-0000-0000BE110000}"/>
    <cellStyle name="Normal 14 4 2 2" xfId="2283" xr:uid="{00000000-0005-0000-0000-0000BF110000}"/>
    <cellStyle name="Normal 14 4 2 2 2" xfId="5323" xr:uid="{00000000-0005-0000-0000-0000C0110000}"/>
    <cellStyle name="Normal 14 4 2 3" xfId="5324" xr:uid="{00000000-0005-0000-0000-0000C1110000}"/>
    <cellStyle name="Normal 14 4 2 4" xfId="3443" xr:uid="{00000000-0005-0000-0000-0000C2110000}"/>
    <cellStyle name="Normal 14 4 3" xfId="1709" xr:uid="{00000000-0005-0000-0000-0000C3110000}"/>
    <cellStyle name="Normal 14 4 3 2" xfId="5325" xr:uid="{00000000-0005-0000-0000-0000C4110000}"/>
    <cellStyle name="Normal 14 4 4" xfId="5326" xr:uid="{00000000-0005-0000-0000-0000C5110000}"/>
    <cellStyle name="Normal 14 4 5" xfId="2868" xr:uid="{00000000-0005-0000-0000-0000C6110000}"/>
    <cellStyle name="Normal 14 5" xfId="910" xr:uid="{00000000-0005-0000-0000-0000C7110000}"/>
    <cellStyle name="Normal 14 5 2" xfId="1858" xr:uid="{00000000-0005-0000-0000-0000C8110000}"/>
    <cellStyle name="Normal 14 5 2 2" xfId="5327" xr:uid="{00000000-0005-0000-0000-0000C9110000}"/>
    <cellStyle name="Normal 14 5 3" xfId="5328" xr:uid="{00000000-0005-0000-0000-0000CA110000}"/>
    <cellStyle name="Normal 14 5 4" xfId="3018" xr:uid="{00000000-0005-0000-0000-0000CB110000}"/>
    <cellStyle name="Normal 14 6" xfId="1283" xr:uid="{00000000-0005-0000-0000-0000CC110000}"/>
    <cellStyle name="Normal 14 6 2" xfId="5329" xr:uid="{00000000-0005-0000-0000-0000CD110000}"/>
    <cellStyle name="Normal 14 7" xfId="5330" xr:uid="{00000000-0005-0000-0000-0000CE110000}"/>
    <cellStyle name="Normal 14 8" xfId="2442" xr:uid="{00000000-0005-0000-0000-0000CF110000}"/>
    <cellStyle name="Normal 15" xfId="911" xr:uid="{00000000-0005-0000-0000-0000D0110000}"/>
    <cellStyle name="Normal 15 2" xfId="912" xr:uid="{00000000-0005-0000-0000-0000D1110000}"/>
    <cellStyle name="Normal 15 2 2" xfId="913" xr:uid="{00000000-0005-0000-0000-0000D2110000}"/>
    <cellStyle name="Normal 15 2 2 2" xfId="2041" xr:uid="{00000000-0005-0000-0000-0000D3110000}"/>
    <cellStyle name="Normal 15 2 2 2 2" xfId="5331" xr:uid="{00000000-0005-0000-0000-0000D4110000}"/>
    <cellStyle name="Normal 15 2 2 3" xfId="5332" xr:uid="{00000000-0005-0000-0000-0000D5110000}"/>
    <cellStyle name="Normal 15 2 2 4" xfId="3201" xr:uid="{00000000-0005-0000-0000-0000D6110000}"/>
    <cellStyle name="Normal 15 2 3" xfId="1467" xr:uid="{00000000-0005-0000-0000-0000D7110000}"/>
    <cellStyle name="Normal 15 2 3 2" xfId="5333" xr:uid="{00000000-0005-0000-0000-0000D8110000}"/>
    <cellStyle name="Normal 15 2 4" xfId="5334" xr:uid="{00000000-0005-0000-0000-0000D9110000}"/>
    <cellStyle name="Normal 15 2 5" xfId="2626" xr:uid="{00000000-0005-0000-0000-0000DA110000}"/>
    <cellStyle name="Normal 15 3" xfId="914" xr:uid="{00000000-0005-0000-0000-0000DB110000}"/>
    <cellStyle name="Normal 15 3 2" xfId="915" xr:uid="{00000000-0005-0000-0000-0000DC110000}"/>
    <cellStyle name="Normal 15 3 2 2" xfId="2177" xr:uid="{00000000-0005-0000-0000-0000DD110000}"/>
    <cellStyle name="Normal 15 3 2 2 2" xfId="5335" xr:uid="{00000000-0005-0000-0000-0000DE110000}"/>
    <cellStyle name="Normal 15 3 2 3" xfId="5336" xr:uid="{00000000-0005-0000-0000-0000DF110000}"/>
    <cellStyle name="Normal 15 3 2 4" xfId="3337" xr:uid="{00000000-0005-0000-0000-0000E0110000}"/>
    <cellStyle name="Normal 15 3 3" xfId="1603" xr:uid="{00000000-0005-0000-0000-0000E1110000}"/>
    <cellStyle name="Normal 15 3 3 2" xfId="5337" xr:uid="{00000000-0005-0000-0000-0000E2110000}"/>
    <cellStyle name="Normal 15 3 4" xfId="5338" xr:uid="{00000000-0005-0000-0000-0000E3110000}"/>
    <cellStyle name="Normal 15 3 5" xfId="2762" xr:uid="{00000000-0005-0000-0000-0000E4110000}"/>
    <cellStyle name="Normal 15 4" xfId="916" xr:uid="{00000000-0005-0000-0000-0000E5110000}"/>
    <cellStyle name="Normal 15 4 2" xfId="917" xr:uid="{00000000-0005-0000-0000-0000E6110000}"/>
    <cellStyle name="Normal 15 4 2 2" xfId="2323" xr:uid="{00000000-0005-0000-0000-0000E7110000}"/>
    <cellStyle name="Normal 15 4 2 2 2" xfId="5339" xr:uid="{00000000-0005-0000-0000-0000E8110000}"/>
    <cellStyle name="Normal 15 4 2 3" xfId="5340" xr:uid="{00000000-0005-0000-0000-0000E9110000}"/>
    <cellStyle name="Normal 15 4 2 4" xfId="3483" xr:uid="{00000000-0005-0000-0000-0000EA110000}"/>
    <cellStyle name="Normal 15 4 3" xfId="1749" xr:uid="{00000000-0005-0000-0000-0000EB110000}"/>
    <cellStyle name="Normal 15 4 3 2" xfId="5341" xr:uid="{00000000-0005-0000-0000-0000EC110000}"/>
    <cellStyle name="Normal 15 4 4" xfId="5342" xr:uid="{00000000-0005-0000-0000-0000ED110000}"/>
    <cellStyle name="Normal 15 4 5" xfId="2908" xr:uid="{00000000-0005-0000-0000-0000EE110000}"/>
    <cellStyle name="Normal 15 5" xfId="918" xr:uid="{00000000-0005-0000-0000-0000EF110000}"/>
    <cellStyle name="Normal 15 5 2" xfId="1898" xr:uid="{00000000-0005-0000-0000-0000F0110000}"/>
    <cellStyle name="Normal 15 5 2 2" xfId="5343" xr:uid="{00000000-0005-0000-0000-0000F1110000}"/>
    <cellStyle name="Normal 15 5 3" xfId="5344" xr:uid="{00000000-0005-0000-0000-0000F2110000}"/>
    <cellStyle name="Normal 15 5 4" xfId="3058" xr:uid="{00000000-0005-0000-0000-0000F3110000}"/>
    <cellStyle name="Normal 15 6" xfId="1323" xr:uid="{00000000-0005-0000-0000-0000F4110000}"/>
    <cellStyle name="Normal 15 6 2" xfId="5345" xr:uid="{00000000-0005-0000-0000-0000F5110000}"/>
    <cellStyle name="Normal 15 7" xfId="5346" xr:uid="{00000000-0005-0000-0000-0000F6110000}"/>
    <cellStyle name="Normal 15 8" xfId="2482" xr:uid="{00000000-0005-0000-0000-0000F7110000}"/>
    <cellStyle name="Normal 16" xfId="919" xr:uid="{00000000-0005-0000-0000-0000F8110000}"/>
    <cellStyle name="Normal 16 2" xfId="920" xr:uid="{00000000-0005-0000-0000-0000F9110000}"/>
    <cellStyle name="Normal 16 2 2" xfId="921" xr:uid="{00000000-0005-0000-0000-0000FA110000}"/>
    <cellStyle name="Normal 16 2 2 2" xfId="2042" xr:uid="{00000000-0005-0000-0000-0000FB110000}"/>
    <cellStyle name="Normal 16 2 2 2 2" xfId="5347" xr:uid="{00000000-0005-0000-0000-0000FC110000}"/>
    <cellStyle name="Normal 16 2 2 3" xfId="5348" xr:uid="{00000000-0005-0000-0000-0000FD110000}"/>
    <cellStyle name="Normal 16 2 2 4" xfId="3202" xr:uid="{00000000-0005-0000-0000-0000FE110000}"/>
    <cellStyle name="Normal 16 2 3" xfId="1468" xr:uid="{00000000-0005-0000-0000-0000FF110000}"/>
    <cellStyle name="Normal 16 2 3 2" xfId="5349" xr:uid="{00000000-0005-0000-0000-000000120000}"/>
    <cellStyle name="Normal 16 2 4" xfId="5350" xr:uid="{00000000-0005-0000-0000-000001120000}"/>
    <cellStyle name="Normal 16 2 5" xfId="2627" xr:uid="{00000000-0005-0000-0000-000002120000}"/>
    <cellStyle name="Normal 16 3" xfId="922" xr:uid="{00000000-0005-0000-0000-000003120000}"/>
    <cellStyle name="Normal 16 3 2" xfId="923" xr:uid="{00000000-0005-0000-0000-000004120000}"/>
    <cellStyle name="Normal 16 3 2 2" xfId="2178" xr:uid="{00000000-0005-0000-0000-000005120000}"/>
    <cellStyle name="Normal 16 3 2 2 2" xfId="5351" xr:uid="{00000000-0005-0000-0000-000006120000}"/>
    <cellStyle name="Normal 16 3 2 3" xfId="5352" xr:uid="{00000000-0005-0000-0000-000007120000}"/>
    <cellStyle name="Normal 16 3 2 4" xfId="3338" xr:uid="{00000000-0005-0000-0000-000008120000}"/>
    <cellStyle name="Normal 16 3 3" xfId="1604" xr:uid="{00000000-0005-0000-0000-000009120000}"/>
    <cellStyle name="Normal 16 3 3 2" xfId="5353" xr:uid="{00000000-0005-0000-0000-00000A120000}"/>
    <cellStyle name="Normal 16 3 4" xfId="5354" xr:uid="{00000000-0005-0000-0000-00000B120000}"/>
    <cellStyle name="Normal 16 3 5" xfId="2763" xr:uid="{00000000-0005-0000-0000-00000C120000}"/>
    <cellStyle name="Normal 16 4" xfId="924" xr:uid="{00000000-0005-0000-0000-00000D120000}"/>
    <cellStyle name="Normal 16 4 2" xfId="925" xr:uid="{00000000-0005-0000-0000-00000E120000}"/>
    <cellStyle name="Normal 16 4 2 2" xfId="2324" xr:uid="{00000000-0005-0000-0000-00000F120000}"/>
    <cellStyle name="Normal 16 4 2 2 2" xfId="5355" xr:uid="{00000000-0005-0000-0000-000010120000}"/>
    <cellStyle name="Normal 16 4 2 3" xfId="5356" xr:uid="{00000000-0005-0000-0000-000011120000}"/>
    <cellStyle name="Normal 16 4 2 4" xfId="3484" xr:uid="{00000000-0005-0000-0000-000012120000}"/>
    <cellStyle name="Normal 16 4 3" xfId="1750" xr:uid="{00000000-0005-0000-0000-000013120000}"/>
    <cellStyle name="Normal 16 4 3 2" xfId="5357" xr:uid="{00000000-0005-0000-0000-000014120000}"/>
    <cellStyle name="Normal 16 4 4" xfId="5358" xr:uid="{00000000-0005-0000-0000-000015120000}"/>
    <cellStyle name="Normal 16 4 5" xfId="2909" xr:uid="{00000000-0005-0000-0000-000016120000}"/>
    <cellStyle name="Normal 16 5" xfId="926" xr:uid="{00000000-0005-0000-0000-000017120000}"/>
    <cellStyle name="Normal 16 5 2" xfId="1899" xr:uid="{00000000-0005-0000-0000-000018120000}"/>
    <cellStyle name="Normal 16 5 2 2" xfId="5359" xr:uid="{00000000-0005-0000-0000-000019120000}"/>
    <cellStyle name="Normal 16 5 3" xfId="5360" xr:uid="{00000000-0005-0000-0000-00001A120000}"/>
    <cellStyle name="Normal 16 5 4" xfId="3059" xr:uid="{00000000-0005-0000-0000-00001B120000}"/>
    <cellStyle name="Normal 16 6" xfId="1324" xr:uid="{00000000-0005-0000-0000-00001C120000}"/>
    <cellStyle name="Normal 16 6 2" xfId="5361" xr:uid="{00000000-0005-0000-0000-00001D120000}"/>
    <cellStyle name="Normal 16 7" xfId="5362" xr:uid="{00000000-0005-0000-0000-00001E120000}"/>
    <cellStyle name="Normal 16 8" xfId="2483" xr:uid="{00000000-0005-0000-0000-00001F120000}"/>
    <cellStyle name="Normal 17" xfId="927" xr:uid="{00000000-0005-0000-0000-000020120000}"/>
    <cellStyle name="Normal 17 2" xfId="928" xr:uid="{00000000-0005-0000-0000-000021120000}"/>
    <cellStyle name="Normal 17 2 2" xfId="929" xr:uid="{00000000-0005-0000-0000-000022120000}"/>
    <cellStyle name="Normal 17 2 2 2" xfId="2043" xr:uid="{00000000-0005-0000-0000-000023120000}"/>
    <cellStyle name="Normal 17 2 2 2 2" xfId="5363" xr:uid="{00000000-0005-0000-0000-000024120000}"/>
    <cellStyle name="Normal 17 2 2 3" xfId="5364" xr:uid="{00000000-0005-0000-0000-000025120000}"/>
    <cellStyle name="Normal 17 2 2 4" xfId="3203" xr:uid="{00000000-0005-0000-0000-000026120000}"/>
    <cellStyle name="Normal 17 2 3" xfId="1469" xr:uid="{00000000-0005-0000-0000-000027120000}"/>
    <cellStyle name="Normal 17 2 3 2" xfId="5365" xr:uid="{00000000-0005-0000-0000-000028120000}"/>
    <cellStyle name="Normal 17 2 4" xfId="5366" xr:uid="{00000000-0005-0000-0000-000029120000}"/>
    <cellStyle name="Normal 17 2 5" xfId="2628" xr:uid="{00000000-0005-0000-0000-00002A120000}"/>
    <cellStyle name="Normal 17 3" xfId="930" xr:uid="{00000000-0005-0000-0000-00002B120000}"/>
    <cellStyle name="Normal 17 3 2" xfId="931" xr:uid="{00000000-0005-0000-0000-00002C120000}"/>
    <cellStyle name="Normal 17 3 2 2" xfId="2179" xr:uid="{00000000-0005-0000-0000-00002D120000}"/>
    <cellStyle name="Normal 17 3 2 2 2" xfId="5367" xr:uid="{00000000-0005-0000-0000-00002E120000}"/>
    <cellStyle name="Normal 17 3 2 3" xfId="5368" xr:uid="{00000000-0005-0000-0000-00002F120000}"/>
    <cellStyle name="Normal 17 3 2 4" xfId="3339" xr:uid="{00000000-0005-0000-0000-000030120000}"/>
    <cellStyle name="Normal 17 3 3" xfId="1605" xr:uid="{00000000-0005-0000-0000-000031120000}"/>
    <cellStyle name="Normal 17 3 3 2" xfId="5369" xr:uid="{00000000-0005-0000-0000-000032120000}"/>
    <cellStyle name="Normal 17 3 4" xfId="5370" xr:uid="{00000000-0005-0000-0000-000033120000}"/>
    <cellStyle name="Normal 17 3 5" xfId="2764" xr:uid="{00000000-0005-0000-0000-000034120000}"/>
    <cellStyle name="Normal 17 4" xfId="932" xr:uid="{00000000-0005-0000-0000-000035120000}"/>
    <cellStyle name="Normal 17 4 2" xfId="933" xr:uid="{00000000-0005-0000-0000-000036120000}"/>
    <cellStyle name="Normal 17 4 2 2" xfId="2325" xr:uid="{00000000-0005-0000-0000-000037120000}"/>
    <cellStyle name="Normal 17 4 2 2 2" xfId="5371" xr:uid="{00000000-0005-0000-0000-000038120000}"/>
    <cellStyle name="Normal 17 4 2 3" xfId="5372" xr:uid="{00000000-0005-0000-0000-000039120000}"/>
    <cellStyle name="Normal 17 4 2 4" xfId="3485" xr:uid="{00000000-0005-0000-0000-00003A120000}"/>
    <cellStyle name="Normal 17 4 3" xfId="1751" xr:uid="{00000000-0005-0000-0000-00003B120000}"/>
    <cellStyle name="Normal 17 4 3 2" xfId="5373" xr:uid="{00000000-0005-0000-0000-00003C120000}"/>
    <cellStyle name="Normal 17 4 4" xfId="5374" xr:uid="{00000000-0005-0000-0000-00003D120000}"/>
    <cellStyle name="Normal 17 4 5" xfId="2910" xr:uid="{00000000-0005-0000-0000-00003E120000}"/>
    <cellStyle name="Normal 17 5" xfId="934" xr:uid="{00000000-0005-0000-0000-00003F120000}"/>
    <cellStyle name="Normal 17 5 2" xfId="1900" xr:uid="{00000000-0005-0000-0000-000040120000}"/>
    <cellStyle name="Normal 17 5 2 2" xfId="5375" xr:uid="{00000000-0005-0000-0000-000041120000}"/>
    <cellStyle name="Normal 17 5 3" xfId="5376" xr:uid="{00000000-0005-0000-0000-000042120000}"/>
    <cellStyle name="Normal 17 5 4" xfId="3060" xr:uid="{00000000-0005-0000-0000-000043120000}"/>
    <cellStyle name="Normal 17 6" xfId="1325" xr:uid="{00000000-0005-0000-0000-000044120000}"/>
    <cellStyle name="Normal 17 6 2" xfId="5377" xr:uid="{00000000-0005-0000-0000-000045120000}"/>
    <cellStyle name="Normal 17 7" xfId="5378" xr:uid="{00000000-0005-0000-0000-000046120000}"/>
    <cellStyle name="Normal 17 8" xfId="2484" xr:uid="{00000000-0005-0000-0000-000047120000}"/>
    <cellStyle name="Normal 18" xfId="935" xr:uid="{00000000-0005-0000-0000-000048120000}"/>
    <cellStyle name="Normal 18 2" xfId="936" xr:uid="{00000000-0005-0000-0000-000049120000}"/>
    <cellStyle name="Normal 18 2 2" xfId="937" xr:uid="{00000000-0005-0000-0000-00004A120000}"/>
    <cellStyle name="Normal 18 2 2 2" xfId="2044" xr:uid="{00000000-0005-0000-0000-00004B120000}"/>
    <cellStyle name="Normal 18 2 2 2 2" xfId="5379" xr:uid="{00000000-0005-0000-0000-00004C120000}"/>
    <cellStyle name="Normal 18 2 2 3" xfId="5380" xr:uid="{00000000-0005-0000-0000-00004D120000}"/>
    <cellStyle name="Normal 18 2 2 4" xfId="3204" xr:uid="{00000000-0005-0000-0000-00004E120000}"/>
    <cellStyle name="Normal 18 2 3" xfId="1470" xr:uid="{00000000-0005-0000-0000-00004F120000}"/>
    <cellStyle name="Normal 18 2 3 2" xfId="5381" xr:uid="{00000000-0005-0000-0000-000050120000}"/>
    <cellStyle name="Normal 18 2 4" xfId="5382" xr:uid="{00000000-0005-0000-0000-000051120000}"/>
    <cellStyle name="Normal 18 2 5" xfId="2629" xr:uid="{00000000-0005-0000-0000-000052120000}"/>
    <cellStyle name="Normal 18 3" xfId="938" xr:uid="{00000000-0005-0000-0000-000053120000}"/>
    <cellStyle name="Normal 18 3 2" xfId="939" xr:uid="{00000000-0005-0000-0000-000054120000}"/>
    <cellStyle name="Normal 18 3 2 2" xfId="2180" xr:uid="{00000000-0005-0000-0000-000055120000}"/>
    <cellStyle name="Normal 18 3 2 2 2" xfId="5383" xr:uid="{00000000-0005-0000-0000-000056120000}"/>
    <cellStyle name="Normal 18 3 2 3" xfId="5384" xr:uid="{00000000-0005-0000-0000-000057120000}"/>
    <cellStyle name="Normal 18 3 2 4" xfId="3340" xr:uid="{00000000-0005-0000-0000-000058120000}"/>
    <cellStyle name="Normal 18 3 3" xfId="1606" xr:uid="{00000000-0005-0000-0000-000059120000}"/>
    <cellStyle name="Normal 18 3 3 2" xfId="5385" xr:uid="{00000000-0005-0000-0000-00005A120000}"/>
    <cellStyle name="Normal 18 3 4" xfId="5386" xr:uid="{00000000-0005-0000-0000-00005B120000}"/>
    <cellStyle name="Normal 18 3 5" xfId="2765" xr:uid="{00000000-0005-0000-0000-00005C120000}"/>
    <cellStyle name="Normal 18 4" xfId="940" xr:uid="{00000000-0005-0000-0000-00005D120000}"/>
    <cellStyle name="Normal 18 4 2" xfId="941" xr:uid="{00000000-0005-0000-0000-00005E120000}"/>
    <cellStyle name="Normal 18 4 2 2" xfId="2326" xr:uid="{00000000-0005-0000-0000-00005F120000}"/>
    <cellStyle name="Normal 18 4 2 2 2" xfId="5387" xr:uid="{00000000-0005-0000-0000-000060120000}"/>
    <cellStyle name="Normal 18 4 2 3" xfId="5388" xr:uid="{00000000-0005-0000-0000-000061120000}"/>
    <cellStyle name="Normal 18 4 2 4" xfId="3486" xr:uid="{00000000-0005-0000-0000-000062120000}"/>
    <cellStyle name="Normal 18 4 3" xfId="1752" xr:uid="{00000000-0005-0000-0000-000063120000}"/>
    <cellStyle name="Normal 18 4 3 2" xfId="5389" xr:uid="{00000000-0005-0000-0000-000064120000}"/>
    <cellStyle name="Normal 18 4 4" xfId="5390" xr:uid="{00000000-0005-0000-0000-000065120000}"/>
    <cellStyle name="Normal 18 4 5" xfId="2911" xr:uid="{00000000-0005-0000-0000-000066120000}"/>
    <cellStyle name="Normal 18 5" xfId="942" xr:uid="{00000000-0005-0000-0000-000067120000}"/>
    <cellStyle name="Normal 18 5 2" xfId="1901" xr:uid="{00000000-0005-0000-0000-000068120000}"/>
    <cellStyle name="Normal 18 5 2 2" xfId="5391" xr:uid="{00000000-0005-0000-0000-000069120000}"/>
    <cellStyle name="Normal 18 5 3" xfId="5392" xr:uid="{00000000-0005-0000-0000-00006A120000}"/>
    <cellStyle name="Normal 18 5 4" xfId="3061" xr:uid="{00000000-0005-0000-0000-00006B120000}"/>
    <cellStyle name="Normal 18 6" xfId="1326" xr:uid="{00000000-0005-0000-0000-00006C120000}"/>
    <cellStyle name="Normal 18 6 2" xfId="5393" xr:uid="{00000000-0005-0000-0000-00006D120000}"/>
    <cellStyle name="Normal 18 7" xfId="5394" xr:uid="{00000000-0005-0000-0000-00006E120000}"/>
    <cellStyle name="Normal 18 8" xfId="2485" xr:uid="{00000000-0005-0000-0000-00006F120000}"/>
    <cellStyle name="Normal 19" xfId="943" xr:uid="{00000000-0005-0000-0000-000070120000}"/>
    <cellStyle name="Normal 19 2" xfId="944" xr:uid="{00000000-0005-0000-0000-000071120000}"/>
    <cellStyle name="Normal 19 2 2" xfId="945" xr:uid="{00000000-0005-0000-0000-000072120000}"/>
    <cellStyle name="Normal 19 2 2 2" xfId="2045" xr:uid="{00000000-0005-0000-0000-000073120000}"/>
    <cellStyle name="Normal 19 2 2 2 2" xfId="5395" xr:uid="{00000000-0005-0000-0000-000074120000}"/>
    <cellStyle name="Normal 19 2 2 3" xfId="5396" xr:uid="{00000000-0005-0000-0000-000075120000}"/>
    <cellStyle name="Normal 19 2 2 4" xfId="3205" xr:uid="{00000000-0005-0000-0000-000076120000}"/>
    <cellStyle name="Normal 19 2 3" xfId="1471" xr:uid="{00000000-0005-0000-0000-000077120000}"/>
    <cellStyle name="Normal 19 2 3 2" xfId="5397" xr:uid="{00000000-0005-0000-0000-000078120000}"/>
    <cellStyle name="Normal 19 2 4" xfId="5398" xr:uid="{00000000-0005-0000-0000-000079120000}"/>
    <cellStyle name="Normal 19 2 5" xfId="2630" xr:uid="{00000000-0005-0000-0000-00007A120000}"/>
    <cellStyle name="Normal 19 3" xfId="946" xr:uid="{00000000-0005-0000-0000-00007B120000}"/>
    <cellStyle name="Normal 19 3 2" xfId="947" xr:uid="{00000000-0005-0000-0000-00007C120000}"/>
    <cellStyle name="Normal 19 3 2 2" xfId="2181" xr:uid="{00000000-0005-0000-0000-00007D120000}"/>
    <cellStyle name="Normal 19 3 2 2 2" xfId="5399" xr:uid="{00000000-0005-0000-0000-00007E120000}"/>
    <cellStyle name="Normal 19 3 2 3" xfId="5400" xr:uid="{00000000-0005-0000-0000-00007F120000}"/>
    <cellStyle name="Normal 19 3 2 4" xfId="3341" xr:uid="{00000000-0005-0000-0000-000080120000}"/>
    <cellStyle name="Normal 19 3 3" xfId="1607" xr:uid="{00000000-0005-0000-0000-000081120000}"/>
    <cellStyle name="Normal 19 3 3 2" xfId="5401" xr:uid="{00000000-0005-0000-0000-000082120000}"/>
    <cellStyle name="Normal 19 3 4" xfId="5402" xr:uid="{00000000-0005-0000-0000-000083120000}"/>
    <cellStyle name="Normal 19 3 5" xfId="2766" xr:uid="{00000000-0005-0000-0000-000084120000}"/>
    <cellStyle name="Normal 19 4" xfId="948" xr:uid="{00000000-0005-0000-0000-000085120000}"/>
    <cellStyle name="Normal 19 4 2" xfId="949" xr:uid="{00000000-0005-0000-0000-000086120000}"/>
    <cellStyle name="Normal 19 4 2 2" xfId="2327" xr:uid="{00000000-0005-0000-0000-000087120000}"/>
    <cellStyle name="Normal 19 4 2 2 2" xfId="5403" xr:uid="{00000000-0005-0000-0000-000088120000}"/>
    <cellStyle name="Normal 19 4 2 3" xfId="5404" xr:uid="{00000000-0005-0000-0000-000089120000}"/>
    <cellStyle name="Normal 19 4 2 4" xfId="3487" xr:uid="{00000000-0005-0000-0000-00008A120000}"/>
    <cellStyle name="Normal 19 4 3" xfId="1753" xr:uid="{00000000-0005-0000-0000-00008B120000}"/>
    <cellStyle name="Normal 19 4 3 2" xfId="5405" xr:uid="{00000000-0005-0000-0000-00008C120000}"/>
    <cellStyle name="Normal 19 4 4" xfId="5406" xr:uid="{00000000-0005-0000-0000-00008D120000}"/>
    <cellStyle name="Normal 19 4 5" xfId="2912" xr:uid="{00000000-0005-0000-0000-00008E120000}"/>
    <cellStyle name="Normal 19 5" xfId="950" xr:uid="{00000000-0005-0000-0000-00008F120000}"/>
    <cellStyle name="Normal 19 5 2" xfId="1902" xr:uid="{00000000-0005-0000-0000-000090120000}"/>
    <cellStyle name="Normal 19 5 2 2" xfId="5407" xr:uid="{00000000-0005-0000-0000-000091120000}"/>
    <cellStyle name="Normal 19 5 3" xfId="5408" xr:uid="{00000000-0005-0000-0000-000092120000}"/>
    <cellStyle name="Normal 19 5 4" xfId="3062" xr:uid="{00000000-0005-0000-0000-000093120000}"/>
    <cellStyle name="Normal 19 6" xfId="1327" xr:uid="{00000000-0005-0000-0000-000094120000}"/>
    <cellStyle name="Normal 19 6 2" xfId="5409" xr:uid="{00000000-0005-0000-0000-000095120000}"/>
    <cellStyle name="Normal 19 7" xfId="5410" xr:uid="{00000000-0005-0000-0000-000096120000}"/>
    <cellStyle name="Normal 19 8" xfId="2486" xr:uid="{00000000-0005-0000-0000-000097120000}"/>
    <cellStyle name="Normal 2" xfId="951" xr:uid="{00000000-0005-0000-0000-000098120000}"/>
    <cellStyle name="Normal 2 10" xfId="5411" xr:uid="{00000000-0005-0000-0000-000099120000}"/>
    <cellStyle name="Normal 2 11" xfId="2390" xr:uid="{00000000-0005-0000-0000-00009A120000}"/>
    <cellStyle name="Normal 2 2" xfId="952" xr:uid="{00000000-0005-0000-0000-00009B120000}"/>
    <cellStyle name="Normal 2 2 2" xfId="953" xr:uid="{00000000-0005-0000-0000-00009C120000}"/>
    <cellStyle name="Normal 2 2 2 2" xfId="954" xr:uid="{00000000-0005-0000-0000-00009D120000}"/>
    <cellStyle name="Normal 2 2 2 2 2" xfId="1996" xr:uid="{00000000-0005-0000-0000-00009E120000}"/>
    <cellStyle name="Normal 2 2 2 2 2 2" xfId="5412" xr:uid="{00000000-0005-0000-0000-00009F120000}"/>
    <cellStyle name="Normal 2 2 2 2 3" xfId="5413" xr:uid="{00000000-0005-0000-0000-0000A0120000}"/>
    <cellStyle name="Normal 2 2 2 2 4" xfId="3156" xr:uid="{00000000-0005-0000-0000-0000A1120000}"/>
    <cellStyle name="Normal 2 2 2 3" xfId="1422" xr:uid="{00000000-0005-0000-0000-0000A2120000}"/>
    <cellStyle name="Normal 2 2 2 3 2" xfId="5414" xr:uid="{00000000-0005-0000-0000-0000A3120000}"/>
    <cellStyle name="Normal 2 2 2 4" xfId="5415" xr:uid="{00000000-0005-0000-0000-0000A4120000}"/>
    <cellStyle name="Normal 2 2 2 5" xfId="2581" xr:uid="{00000000-0005-0000-0000-0000A5120000}"/>
    <cellStyle name="Normal 2 2 3" xfId="955" xr:uid="{00000000-0005-0000-0000-0000A6120000}"/>
    <cellStyle name="Normal 2 2 3 2" xfId="956" xr:uid="{00000000-0005-0000-0000-0000A7120000}"/>
    <cellStyle name="Normal 2 2 3 2 2" xfId="2132" xr:uid="{00000000-0005-0000-0000-0000A8120000}"/>
    <cellStyle name="Normal 2 2 3 2 2 2" xfId="5416" xr:uid="{00000000-0005-0000-0000-0000A9120000}"/>
    <cellStyle name="Normal 2 2 3 2 3" xfId="5417" xr:uid="{00000000-0005-0000-0000-0000AA120000}"/>
    <cellStyle name="Normal 2 2 3 2 4" xfId="3292" xr:uid="{00000000-0005-0000-0000-0000AB120000}"/>
    <cellStyle name="Normal 2 2 3 3" xfId="1558" xr:uid="{00000000-0005-0000-0000-0000AC120000}"/>
    <cellStyle name="Normal 2 2 3 3 2" xfId="5418" xr:uid="{00000000-0005-0000-0000-0000AD120000}"/>
    <cellStyle name="Normal 2 2 3 4" xfId="5419" xr:uid="{00000000-0005-0000-0000-0000AE120000}"/>
    <cellStyle name="Normal 2 2 3 5" xfId="2717" xr:uid="{00000000-0005-0000-0000-0000AF120000}"/>
    <cellStyle name="Normal 2 2 4" xfId="957" xr:uid="{00000000-0005-0000-0000-0000B0120000}"/>
    <cellStyle name="Normal 2 2 4 2" xfId="958" xr:uid="{00000000-0005-0000-0000-0000B1120000}"/>
    <cellStyle name="Normal 2 2 4 2 2" xfId="2278" xr:uid="{00000000-0005-0000-0000-0000B2120000}"/>
    <cellStyle name="Normal 2 2 4 2 2 2" xfId="5420" xr:uid="{00000000-0005-0000-0000-0000B3120000}"/>
    <cellStyle name="Normal 2 2 4 2 3" xfId="5421" xr:uid="{00000000-0005-0000-0000-0000B4120000}"/>
    <cellStyle name="Normal 2 2 4 2 4" xfId="3438" xr:uid="{00000000-0005-0000-0000-0000B5120000}"/>
    <cellStyle name="Normal 2 2 4 3" xfId="1704" xr:uid="{00000000-0005-0000-0000-0000B6120000}"/>
    <cellStyle name="Normal 2 2 4 3 2" xfId="5422" xr:uid="{00000000-0005-0000-0000-0000B7120000}"/>
    <cellStyle name="Normal 2 2 4 4" xfId="5423" xr:uid="{00000000-0005-0000-0000-0000B8120000}"/>
    <cellStyle name="Normal 2 2 4 5" xfId="2863" xr:uid="{00000000-0005-0000-0000-0000B9120000}"/>
    <cellStyle name="Normal 2 2 5" xfId="959" xr:uid="{00000000-0005-0000-0000-0000BA120000}"/>
    <cellStyle name="Normal 2 2 5 2" xfId="1853" xr:uid="{00000000-0005-0000-0000-0000BB120000}"/>
    <cellStyle name="Normal 2 2 5 2 2" xfId="5424" xr:uid="{00000000-0005-0000-0000-0000BC120000}"/>
    <cellStyle name="Normal 2 2 5 3" xfId="5425" xr:uid="{00000000-0005-0000-0000-0000BD120000}"/>
    <cellStyle name="Normal 2 2 5 4" xfId="5426" xr:uid="{00000000-0005-0000-0000-0000BE120000}"/>
    <cellStyle name="Normal 2 2 5 5" xfId="3013" xr:uid="{00000000-0005-0000-0000-0000BF120000}"/>
    <cellStyle name="Normal 2 2 6" xfId="960" xr:uid="{00000000-0005-0000-0000-0000C0120000}"/>
    <cellStyle name="Normal 2 2 6 2" xfId="5427" xr:uid="{00000000-0005-0000-0000-0000C1120000}"/>
    <cellStyle name="Normal 2 2 7" xfId="1278" xr:uid="{00000000-0005-0000-0000-0000C2120000}"/>
    <cellStyle name="Normal 2 2 7 2" xfId="5428" xr:uid="{00000000-0005-0000-0000-0000C3120000}"/>
    <cellStyle name="Normal 2 2 8" xfId="5429" xr:uid="{00000000-0005-0000-0000-0000C4120000}"/>
    <cellStyle name="Normal 2 2 9" xfId="2437" xr:uid="{00000000-0005-0000-0000-0000C5120000}"/>
    <cellStyle name="Normal 2 3" xfId="961" xr:uid="{00000000-0005-0000-0000-0000C6120000}"/>
    <cellStyle name="Normal 2 3 2" xfId="962" xr:uid="{00000000-0005-0000-0000-0000C7120000}"/>
    <cellStyle name="Normal 2 3 2 2" xfId="963" xr:uid="{00000000-0005-0000-0000-0000C8120000}"/>
    <cellStyle name="Normal 2 3 2 2 2" xfId="2038" xr:uid="{00000000-0005-0000-0000-0000C9120000}"/>
    <cellStyle name="Normal 2 3 2 2 2 2" xfId="5430" xr:uid="{00000000-0005-0000-0000-0000CA120000}"/>
    <cellStyle name="Normal 2 3 2 2 3" xfId="5431" xr:uid="{00000000-0005-0000-0000-0000CB120000}"/>
    <cellStyle name="Normal 2 3 2 2 4" xfId="3198" xr:uid="{00000000-0005-0000-0000-0000CC120000}"/>
    <cellStyle name="Normal 2 3 2 3" xfId="1464" xr:uid="{00000000-0005-0000-0000-0000CD120000}"/>
    <cellStyle name="Normal 2 3 2 3 2" xfId="5432" xr:uid="{00000000-0005-0000-0000-0000CE120000}"/>
    <cellStyle name="Normal 2 3 2 4" xfId="5433" xr:uid="{00000000-0005-0000-0000-0000CF120000}"/>
    <cellStyle name="Normal 2 3 2 5" xfId="2623" xr:uid="{00000000-0005-0000-0000-0000D0120000}"/>
    <cellStyle name="Normal 2 3 3" xfId="964" xr:uid="{00000000-0005-0000-0000-0000D1120000}"/>
    <cellStyle name="Normal 2 3 3 2" xfId="965" xr:uid="{00000000-0005-0000-0000-0000D2120000}"/>
    <cellStyle name="Normal 2 3 3 2 2" xfId="2174" xr:uid="{00000000-0005-0000-0000-0000D3120000}"/>
    <cellStyle name="Normal 2 3 3 2 2 2" xfId="5434" xr:uid="{00000000-0005-0000-0000-0000D4120000}"/>
    <cellStyle name="Normal 2 3 3 2 3" xfId="5435" xr:uid="{00000000-0005-0000-0000-0000D5120000}"/>
    <cellStyle name="Normal 2 3 3 2 4" xfId="3334" xr:uid="{00000000-0005-0000-0000-0000D6120000}"/>
    <cellStyle name="Normal 2 3 3 3" xfId="1600" xr:uid="{00000000-0005-0000-0000-0000D7120000}"/>
    <cellStyle name="Normal 2 3 3 3 2" xfId="5436" xr:uid="{00000000-0005-0000-0000-0000D8120000}"/>
    <cellStyle name="Normal 2 3 3 4" xfId="5437" xr:uid="{00000000-0005-0000-0000-0000D9120000}"/>
    <cellStyle name="Normal 2 3 3 5" xfId="2759" xr:uid="{00000000-0005-0000-0000-0000DA120000}"/>
    <cellStyle name="Normal 2 3 4" xfId="966" xr:uid="{00000000-0005-0000-0000-0000DB120000}"/>
    <cellStyle name="Normal 2 3 4 2" xfId="967" xr:uid="{00000000-0005-0000-0000-0000DC120000}"/>
    <cellStyle name="Normal 2 3 4 2 2" xfId="2320" xr:uid="{00000000-0005-0000-0000-0000DD120000}"/>
    <cellStyle name="Normal 2 3 4 2 2 2" xfId="5438" xr:uid="{00000000-0005-0000-0000-0000DE120000}"/>
    <cellStyle name="Normal 2 3 4 2 3" xfId="5439" xr:uid="{00000000-0005-0000-0000-0000DF120000}"/>
    <cellStyle name="Normal 2 3 4 2 4" xfId="3480" xr:uid="{00000000-0005-0000-0000-0000E0120000}"/>
    <cellStyle name="Normal 2 3 4 3" xfId="1746" xr:uid="{00000000-0005-0000-0000-0000E1120000}"/>
    <cellStyle name="Normal 2 3 4 3 2" xfId="5440" xr:uid="{00000000-0005-0000-0000-0000E2120000}"/>
    <cellStyle name="Normal 2 3 4 4" xfId="5441" xr:uid="{00000000-0005-0000-0000-0000E3120000}"/>
    <cellStyle name="Normal 2 3 4 5" xfId="2905" xr:uid="{00000000-0005-0000-0000-0000E4120000}"/>
    <cellStyle name="Normal 2 3 5" xfId="968" xr:uid="{00000000-0005-0000-0000-0000E5120000}"/>
    <cellStyle name="Normal 2 3 5 2" xfId="1895" xr:uid="{00000000-0005-0000-0000-0000E6120000}"/>
    <cellStyle name="Normal 2 3 5 2 2" xfId="5442" xr:uid="{00000000-0005-0000-0000-0000E7120000}"/>
    <cellStyle name="Normal 2 3 5 3" xfId="5443" xr:uid="{00000000-0005-0000-0000-0000E8120000}"/>
    <cellStyle name="Normal 2 3 5 4" xfId="3055" xr:uid="{00000000-0005-0000-0000-0000E9120000}"/>
    <cellStyle name="Normal 2 3 6" xfId="1320" xr:uid="{00000000-0005-0000-0000-0000EA120000}"/>
    <cellStyle name="Normal 2 3 6 2" xfId="5444" xr:uid="{00000000-0005-0000-0000-0000EB120000}"/>
    <cellStyle name="Normal 2 3 7" xfId="5445" xr:uid="{00000000-0005-0000-0000-0000EC120000}"/>
    <cellStyle name="Normal 2 3 8" xfId="2479" xr:uid="{00000000-0005-0000-0000-0000ED120000}"/>
    <cellStyle name="Normal 2 4" xfId="969" xr:uid="{00000000-0005-0000-0000-0000EE120000}"/>
    <cellStyle name="Normal 2 4 2" xfId="970" xr:uid="{00000000-0005-0000-0000-0000EF120000}"/>
    <cellStyle name="Normal 2 4 2 2" xfId="971" xr:uid="{00000000-0005-0000-0000-0000F0120000}"/>
    <cellStyle name="Normal 2 4 2 2 2" xfId="2192" xr:uid="{00000000-0005-0000-0000-0000F1120000}"/>
    <cellStyle name="Normal 2 4 2 2 2 2" xfId="5446" xr:uid="{00000000-0005-0000-0000-0000F2120000}"/>
    <cellStyle name="Normal 2 4 2 2 3" xfId="5447" xr:uid="{00000000-0005-0000-0000-0000F3120000}"/>
    <cellStyle name="Normal 2 4 2 2 4" xfId="3352" xr:uid="{00000000-0005-0000-0000-0000F4120000}"/>
    <cellStyle name="Normal 2 4 2 3" xfId="1618" xr:uid="{00000000-0005-0000-0000-0000F5120000}"/>
    <cellStyle name="Normal 2 4 2 3 2" xfId="5448" xr:uid="{00000000-0005-0000-0000-0000F6120000}"/>
    <cellStyle name="Normal 2 4 2 4" xfId="5449" xr:uid="{00000000-0005-0000-0000-0000F7120000}"/>
    <cellStyle name="Normal 2 4 2 5" xfId="2777" xr:uid="{00000000-0005-0000-0000-0000F8120000}"/>
    <cellStyle name="Normal 2 4 3" xfId="972" xr:uid="{00000000-0005-0000-0000-0000F9120000}"/>
    <cellStyle name="Normal 2 4 3 2" xfId="973" xr:uid="{00000000-0005-0000-0000-0000FA120000}"/>
    <cellStyle name="Normal 2 4 3 2 2" xfId="2231" xr:uid="{00000000-0005-0000-0000-0000FB120000}"/>
    <cellStyle name="Normal 2 4 3 2 2 2" xfId="5450" xr:uid="{00000000-0005-0000-0000-0000FC120000}"/>
    <cellStyle name="Normal 2 4 3 2 3" xfId="5451" xr:uid="{00000000-0005-0000-0000-0000FD120000}"/>
    <cellStyle name="Normal 2 4 3 2 4" xfId="3391" xr:uid="{00000000-0005-0000-0000-0000FE120000}"/>
    <cellStyle name="Normal 2 4 3 3" xfId="1657" xr:uid="{00000000-0005-0000-0000-0000FF120000}"/>
    <cellStyle name="Normal 2 4 3 3 2" xfId="5452" xr:uid="{00000000-0005-0000-0000-000000130000}"/>
    <cellStyle name="Normal 2 4 3 4" xfId="5453" xr:uid="{00000000-0005-0000-0000-000001130000}"/>
    <cellStyle name="Normal 2 4 3 5" xfId="2816" xr:uid="{00000000-0005-0000-0000-000002130000}"/>
    <cellStyle name="Normal 2 4 4" xfId="974" xr:uid="{00000000-0005-0000-0000-000003130000}"/>
    <cellStyle name="Normal 2 4 4 2" xfId="1806" xr:uid="{00000000-0005-0000-0000-000004130000}"/>
    <cellStyle name="Normal 2 4 4 2 2" xfId="5454" xr:uid="{00000000-0005-0000-0000-000005130000}"/>
    <cellStyle name="Normal 2 4 4 3" xfId="5455" xr:uid="{00000000-0005-0000-0000-000006130000}"/>
    <cellStyle name="Normal 2 4 4 4" xfId="2966" xr:uid="{00000000-0005-0000-0000-000007130000}"/>
    <cellStyle name="Normal 2 4 5" xfId="1375" xr:uid="{00000000-0005-0000-0000-000008130000}"/>
    <cellStyle name="Normal 2 4 5 2" xfId="5456" xr:uid="{00000000-0005-0000-0000-000009130000}"/>
    <cellStyle name="Normal 2 4 6" xfId="5457" xr:uid="{00000000-0005-0000-0000-00000A130000}"/>
    <cellStyle name="Normal 2 4 7" xfId="2534" xr:uid="{00000000-0005-0000-0000-00000B130000}"/>
    <cellStyle name="Normal 2 5" xfId="975" xr:uid="{00000000-0005-0000-0000-00000C130000}"/>
    <cellStyle name="Normal 2 5 2" xfId="5458" xr:uid="{00000000-0005-0000-0000-00000D130000}"/>
    <cellStyle name="Normal 2 6" xfId="976" xr:uid="{00000000-0005-0000-0000-00000E130000}"/>
    <cellStyle name="Normal 2 6 2" xfId="977" xr:uid="{00000000-0005-0000-0000-00000F130000}"/>
    <cellStyle name="Normal 2 6 2 2" xfId="2085" xr:uid="{00000000-0005-0000-0000-000010130000}"/>
    <cellStyle name="Normal 2 6 2 2 2" xfId="5459" xr:uid="{00000000-0005-0000-0000-000011130000}"/>
    <cellStyle name="Normal 2 6 2 3" xfId="5460" xr:uid="{00000000-0005-0000-0000-000012130000}"/>
    <cellStyle name="Normal 2 6 2 4" xfId="5461" xr:uid="{00000000-0005-0000-0000-000013130000}"/>
    <cellStyle name="Normal 2 6 2 5" xfId="3245" xr:uid="{00000000-0005-0000-0000-000014130000}"/>
    <cellStyle name="Normal 2 6 3" xfId="978" xr:uid="{00000000-0005-0000-0000-000015130000}"/>
    <cellStyle name="Normal 2 6 3 2" xfId="5462" xr:uid="{00000000-0005-0000-0000-000016130000}"/>
    <cellStyle name="Normal 2 6 4" xfId="1511" xr:uid="{00000000-0005-0000-0000-000017130000}"/>
    <cellStyle name="Normal 2 6 4 2" xfId="5463" xr:uid="{00000000-0005-0000-0000-000018130000}"/>
    <cellStyle name="Normal 2 6 5" xfId="5464" xr:uid="{00000000-0005-0000-0000-000019130000}"/>
    <cellStyle name="Normal 2 6 6" xfId="2670" xr:uid="{00000000-0005-0000-0000-00001A130000}"/>
    <cellStyle name="Normal 2 7" xfId="979" xr:uid="{00000000-0005-0000-0000-00001B130000}"/>
    <cellStyle name="Normal 2 7 2" xfId="5465" xr:uid="{00000000-0005-0000-0000-00001C130000}"/>
    <cellStyle name="Normal 2 8" xfId="1231" xr:uid="{00000000-0005-0000-0000-00001D130000}"/>
    <cellStyle name="Normal 2 8 2" xfId="5466" xr:uid="{00000000-0005-0000-0000-00001E130000}"/>
    <cellStyle name="Normal 2 9" xfId="5467" xr:uid="{00000000-0005-0000-0000-00001F130000}"/>
    <cellStyle name="Normal 20" xfId="980" xr:uid="{00000000-0005-0000-0000-000020130000}"/>
    <cellStyle name="Normal 20 2" xfId="981" xr:uid="{00000000-0005-0000-0000-000021130000}"/>
    <cellStyle name="Normal 20 2 2" xfId="982" xr:uid="{00000000-0005-0000-0000-000022130000}"/>
    <cellStyle name="Normal 20 2 2 2" xfId="2048" xr:uid="{00000000-0005-0000-0000-000023130000}"/>
    <cellStyle name="Normal 20 2 2 2 2" xfId="5468" xr:uid="{00000000-0005-0000-0000-000024130000}"/>
    <cellStyle name="Normal 20 2 2 3" xfId="5469" xr:uid="{00000000-0005-0000-0000-000025130000}"/>
    <cellStyle name="Normal 20 2 2 4" xfId="3208" xr:uid="{00000000-0005-0000-0000-000026130000}"/>
    <cellStyle name="Normal 20 2 3" xfId="1474" xr:uid="{00000000-0005-0000-0000-000027130000}"/>
    <cellStyle name="Normal 20 2 3 2" xfId="5470" xr:uid="{00000000-0005-0000-0000-000028130000}"/>
    <cellStyle name="Normal 20 2 4" xfId="5471" xr:uid="{00000000-0005-0000-0000-000029130000}"/>
    <cellStyle name="Normal 20 2 5" xfId="2633" xr:uid="{00000000-0005-0000-0000-00002A130000}"/>
    <cellStyle name="Normal 20 3" xfId="983" xr:uid="{00000000-0005-0000-0000-00002B130000}"/>
    <cellStyle name="Normal 20 3 2" xfId="984" xr:uid="{00000000-0005-0000-0000-00002C130000}"/>
    <cellStyle name="Normal 20 3 2 2" xfId="2184" xr:uid="{00000000-0005-0000-0000-00002D130000}"/>
    <cellStyle name="Normal 20 3 2 2 2" xfId="5472" xr:uid="{00000000-0005-0000-0000-00002E130000}"/>
    <cellStyle name="Normal 20 3 2 3" xfId="5473" xr:uid="{00000000-0005-0000-0000-00002F130000}"/>
    <cellStyle name="Normal 20 3 2 4" xfId="3344" xr:uid="{00000000-0005-0000-0000-000030130000}"/>
    <cellStyle name="Normal 20 3 3" xfId="1610" xr:uid="{00000000-0005-0000-0000-000031130000}"/>
    <cellStyle name="Normal 20 3 3 2" xfId="5474" xr:uid="{00000000-0005-0000-0000-000032130000}"/>
    <cellStyle name="Normal 20 3 4" xfId="5475" xr:uid="{00000000-0005-0000-0000-000033130000}"/>
    <cellStyle name="Normal 20 3 5" xfId="2769" xr:uid="{00000000-0005-0000-0000-000034130000}"/>
    <cellStyle name="Normal 20 4" xfId="985" xr:uid="{00000000-0005-0000-0000-000035130000}"/>
    <cellStyle name="Normal 20 4 2" xfId="986" xr:uid="{00000000-0005-0000-0000-000036130000}"/>
    <cellStyle name="Normal 20 4 2 2" xfId="2330" xr:uid="{00000000-0005-0000-0000-000037130000}"/>
    <cellStyle name="Normal 20 4 2 2 2" xfId="5476" xr:uid="{00000000-0005-0000-0000-000038130000}"/>
    <cellStyle name="Normal 20 4 2 3" xfId="5477" xr:uid="{00000000-0005-0000-0000-000039130000}"/>
    <cellStyle name="Normal 20 4 2 4" xfId="3490" xr:uid="{00000000-0005-0000-0000-00003A130000}"/>
    <cellStyle name="Normal 20 4 3" xfId="1756" xr:uid="{00000000-0005-0000-0000-00003B130000}"/>
    <cellStyle name="Normal 20 4 3 2" xfId="5478" xr:uid="{00000000-0005-0000-0000-00003C130000}"/>
    <cellStyle name="Normal 20 4 4" xfId="5479" xr:uid="{00000000-0005-0000-0000-00003D130000}"/>
    <cellStyle name="Normal 20 4 5" xfId="2915" xr:uid="{00000000-0005-0000-0000-00003E130000}"/>
    <cellStyle name="Normal 20 5" xfId="987" xr:uid="{00000000-0005-0000-0000-00003F130000}"/>
    <cellStyle name="Normal 20 5 2" xfId="1905" xr:uid="{00000000-0005-0000-0000-000040130000}"/>
    <cellStyle name="Normal 20 5 2 2" xfId="5480" xr:uid="{00000000-0005-0000-0000-000041130000}"/>
    <cellStyle name="Normal 20 5 3" xfId="5481" xr:uid="{00000000-0005-0000-0000-000042130000}"/>
    <cellStyle name="Normal 20 5 4" xfId="3065" xr:uid="{00000000-0005-0000-0000-000043130000}"/>
    <cellStyle name="Normal 20 6" xfId="1330" xr:uid="{00000000-0005-0000-0000-000044130000}"/>
    <cellStyle name="Normal 20 6 2" xfId="5482" xr:uid="{00000000-0005-0000-0000-000045130000}"/>
    <cellStyle name="Normal 20 7" xfId="5483" xr:uid="{00000000-0005-0000-0000-000046130000}"/>
    <cellStyle name="Normal 20 8" xfId="2489" xr:uid="{00000000-0005-0000-0000-000047130000}"/>
    <cellStyle name="Normal 21" xfId="988" xr:uid="{00000000-0005-0000-0000-000048130000}"/>
    <cellStyle name="Normal 21 2" xfId="989" xr:uid="{00000000-0005-0000-0000-000049130000}"/>
    <cellStyle name="Normal 21 2 2" xfId="5484" xr:uid="{00000000-0005-0000-0000-00004A130000}"/>
    <cellStyle name="Normal 21 3" xfId="990" xr:uid="{00000000-0005-0000-0000-00004B130000}"/>
    <cellStyle name="Normal 21 3 2" xfId="991" xr:uid="{00000000-0005-0000-0000-00004C130000}"/>
    <cellStyle name="Normal 21 3 2 2" xfId="2185" xr:uid="{00000000-0005-0000-0000-00004D130000}"/>
    <cellStyle name="Normal 21 3 2 2 2" xfId="5485" xr:uid="{00000000-0005-0000-0000-00004E130000}"/>
    <cellStyle name="Normal 21 3 2 3" xfId="5486" xr:uid="{00000000-0005-0000-0000-00004F130000}"/>
    <cellStyle name="Normal 21 3 2 4" xfId="3345" xr:uid="{00000000-0005-0000-0000-000050130000}"/>
    <cellStyle name="Normal 21 3 3" xfId="1611" xr:uid="{00000000-0005-0000-0000-000051130000}"/>
    <cellStyle name="Normal 21 3 3 2" xfId="5487" xr:uid="{00000000-0005-0000-0000-000052130000}"/>
    <cellStyle name="Normal 21 3 4" xfId="5488" xr:uid="{00000000-0005-0000-0000-000053130000}"/>
    <cellStyle name="Normal 21 3 5" xfId="2770" xr:uid="{00000000-0005-0000-0000-000054130000}"/>
    <cellStyle name="Normal 21 4" xfId="992" xr:uid="{00000000-0005-0000-0000-000055130000}"/>
    <cellStyle name="Normal 21 4 2" xfId="1906" xr:uid="{00000000-0005-0000-0000-000056130000}"/>
    <cellStyle name="Normal 21 4 2 2" xfId="5489" xr:uid="{00000000-0005-0000-0000-000057130000}"/>
    <cellStyle name="Normal 21 4 3" xfId="5490" xr:uid="{00000000-0005-0000-0000-000058130000}"/>
    <cellStyle name="Normal 21 4 4" xfId="3066" xr:uid="{00000000-0005-0000-0000-000059130000}"/>
    <cellStyle name="Normal 21 5" xfId="1331" xr:uid="{00000000-0005-0000-0000-00005A130000}"/>
    <cellStyle name="Normal 21 5 2" xfId="5491" xr:uid="{00000000-0005-0000-0000-00005B130000}"/>
    <cellStyle name="Normal 21 6" xfId="5492" xr:uid="{00000000-0005-0000-0000-00005C130000}"/>
    <cellStyle name="Normal 21 7" xfId="2490" xr:uid="{00000000-0005-0000-0000-00005D130000}"/>
    <cellStyle name="Normal 22" xfId="993" xr:uid="{00000000-0005-0000-0000-00005E130000}"/>
    <cellStyle name="Normal 22 2" xfId="994" xr:uid="{00000000-0005-0000-0000-00005F130000}"/>
    <cellStyle name="Normal 22 2 2" xfId="995" xr:uid="{00000000-0005-0000-0000-000060130000}"/>
    <cellStyle name="Normal 22 2 2 2" xfId="2186" xr:uid="{00000000-0005-0000-0000-000061130000}"/>
    <cellStyle name="Normal 22 2 2 2 2" xfId="5493" xr:uid="{00000000-0005-0000-0000-000062130000}"/>
    <cellStyle name="Normal 22 2 2 3" xfId="5494" xr:uid="{00000000-0005-0000-0000-000063130000}"/>
    <cellStyle name="Normal 22 2 2 4" xfId="3346" xr:uid="{00000000-0005-0000-0000-000064130000}"/>
    <cellStyle name="Normal 22 2 3" xfId="1612" xr:uid="{00000000-0005-0000-0000-000065130000}"/>
    <cellStyle name="Normal 22 2 3 2" xfId="5495" xr:uid="{00000000-0005-0000-0000-000066130000}"/>
    <cellStyle name="Normal 22 2 4" xfId="5496" xr:uid="{00000000-0005-0000-0000-000067130000}"/>
    <cellStyle name="Normal 22 2 5" xfId="2771" xr:uid="{00000000-0005-0000-0000-000068130000}"/>
    <cellStyle name="Normal 22 3" xfId="996" xr:uid="{00000000-0005-0000-0000-000069130000}"/>
    <cellStyle name="Normal 22 3 2" xfId="1907" xr:uid="{00000000-0005-0000-0000-00006A130000}"/>
    <cellStyle name="Normal 22 3 2 2" xfId="5497" xr:uid="{00000000-0005-0000-0000-00006B130000}"/>
    <cellStyle name="Normal 22 3 3" xfId="5498" xr:uid="{00000000-0005-0000-0000-00006C130000}"/>
    <cellStyle name="Normal 22 3 4" xfId="3067" xr:uid="{00000000-0005-0000-0000-00006D130000}"/>
    <cellStyle name="Normal 22 4" xfId="1332" xr:uid="{00000000-0005-0000-0000-00006E130000}"/>
    <cellStyle name="Normal 22 4 2" xfId="5499" xr:uid="{00000000-0005-0000-0000-00006F130000}"/>
    <cellStyle name="Normal 22 5" xfId="5500" xr:uid="{00000000-0005-0000-0000-000070130000}"/>
    <cellStyle name="Normal 22 6" xfId="2491" xr:uid="{00000000-0005-0000-0000-000071130000}"/>
    <cellStyle name="Normal 23" xfId="997" xr:uid="{00000000-0005-0000-0000-000072130000}"/>
    <cellStyle name="Normal 23 2" xfId="998" xr:uid="{00000000-0005-0000-0000-000073130000}"/>
    <cellStyle name="Normal 23 2 2" xfId="999" xr:uid="{00000000-0005-0000-0000-000074130000}"/>
    <cellStyle name="Normal 23 2 2 2" xfId="2187" xr:uid="{00000000-0005-0000-0000-000075130000}"/>
    <cellStyle name="Normal 23 2 2 2 2" xfId="5501" xr:uid="{00000000-0005-0000-0000-000076130000}"/>
    <cellStyle name="Normal 23 2 2 3" xfId="5502" xr:uid="{00000000-0005-0000-0000-000077130000}"/>
    <cellStyle name="Normal 23 2 2 4" xfId="3347" xr:uid="{00000000-0005-0000-0000-000078130000}"/>
    <cellStyle name="Normal 23 2 3" xfId="1613" xr:uid="{00000000-0005-0000-0000-000079130000}"/>
    <cellStyle name="Normal 23 2 3 2" xfId="5503" xr:uid="{00000000-0005-0000-0000-00007A130000}"/>
    <cellStyle name="Normal 23 2 4" xfId="5504" xr:uid="{00000000-0005-0000-0000-00007B130000}"/>
    <cellStyle name="Normal 23 2 5" xfId="2772" xr:uid="{00000000-0005-0000-0000-00007C130000}"/>
    <cellStyle name="Normal 23 3" xfId="1000" xr:uid="{00000000-0005-0000-0000-00007D130000}"/>
    <cellStyle name="Normal 23 3 2" xfId="1908" xr:uid="{00000000-0005-0000-0000-00007E130000}"/>
    <cellStyle name="Normal 23 3 2 2" xfId="5505" xr:uid="{00000000-0005-0000-0000-00007F130000}"/>
    <cellStyle name="Normal 23 3 3" xfId="5506" xr:uid="{00000000-0005-0000-0000-000080130000}"/>
    <cellStyle name="Normal 23 3 4" xfId="3068" xr:uid="{00000000-0005-0000-0000-000081130000}"/>
    <cellStyle name="Normal 23 4" xfId="1333" xr:uid="{00000000-0005-0000-0000-000082130000}"/>
    <cellStyle name="Normal 23 4 2" xfId="5507" xr:uid="{00000000-0005-0000-0000-000083130000}"/>
    <cellStyle name="Normal 23 5" xfId="5508" xr:uid="{00000000-0005-0000-0000-000084130000}"/>
    <cellStyle name="Normal 23 6" xfId="2492" xr:uid="{00000000-0005-0000-0000-000085130000}"/>
    <cellStyle name="Normal 24" xfId="1001" xr:uid="{00000000-0005-0000-0000-000086130000}"/>
    <cellStyle name="Normal 24 2" xfId="1002" xr:uid="{00000000-0005-0000-0000-000087130000}"/>
    <cellStyle name="Normal 24 2 2" xfId="1003" xr:uid="{00000000-0005-0000-0000-000088130000}"/>
    <cellStyle name="Normal 24 2 2 2" xfId="2188" xr:uid="{00000000-0005-0000-0000-000089130000}"/>
    <cellStyle name="Normal 24 2 2 2 2" xfId="5509" xr:uid="{00000000-0005-0000-0000-00008A130000}"/>
    <cellStyle name="Normal 24 2 2 3" xfId="5510" xr:uid="{00000000-0005-0000-0000-00008B130000}"/>
    <cellStyle name="Normal 24 2 2 4" xfId="3348" xr:uid="{00000000-0005-0000-0000-00008C130000}"/>
    <cellStyle name="Normal 24 2 3" xfId="1614" xr:uid="{00000000-0005-0000-0000-00008D130000}"/>
    <cellStyle name="Normal 24 2 3 2" xfId="5511" xr:uid="{00000000-0005-0000-0000-00008E130000}"/>
    <cellStyle name="Normal 24 2 4" xfId="5512" xr:uid="{00000000-0005-0000-0000-00008F130000}"/>
    <cellStyle name="Normal 24 2 5" xfId="2773" xr:uid="{00000000-0005-0000-0000-000090130000}"/>
    <cellStyle name="Normal 24 3" xfId="1004" xr:uid="{00000000-0005-0000-0000-000091130000}"/>
    <cellStyle name="Normal 24 3 2" xfId="1909" xr:uid="{00000000-0005-0000-0000-000092130000}"/>
    <cellStyle name="Normal 24 3 2 2" xfId="5513" xr:uid="{00000000-0005-0000-0000-000093130000}"/>
    <cellStyle name="Normal 24 3 3" xfId="5514" xr:uid="{00000000-0005-0000-0000-000094130000}"/>
    <cellStyle name="Normal 24 3 4" xfId="3069" xr:uid="{00000000-0005-0000-0000-000095130000}"/>
    <cellStyle name="Normal 24 4" xfId="1334" xr:uid="{00000000-0005-0000-0000-000096130000}"/>
    <cellStyle name="Normal 24 4 2" xfId="5515" xr:uid="{00000000-0005-0000-0000-000097130000}"/>
    <cellStyle name="Normal 24 5" xfId="5516" xr:uid="{00000000-0005-0000-0000-000098130000}"/>
    <cellStyle name="Normal 24 6" xfId="2493" xr:uid="{00000000-0005-0000-0000-000099130000}"/>
    <cellStyle name="Normal 25" xfId="1005" xr:uid="{00000000-0005-0000-0000-00009A130000}"/>
    <cellStyle name="Normal 25 2" xfId="1006" xr:uid="{00000000-0005-0000-0000-00009B130000}"/>
    <cellStyle name="Normal 25 2 2" xfId="1007" xr:uid="{00000000-0005-0000-0000-00009C130000}"/>
    <cellStyle name="Normal 25 2 2 2" xfId="2189" xr:uid="{00000000-0005-0000-0000-00009D130000}"/>
    <cellStyle name="Normal 25 2 2 2 2" xfId="5517" xr:uid="{00000000-0005-0000-0000-00009E130000}"/>
    <cellStyle name="Normal 25 2 2 3" xfId="5518" xr:uid="{00000000-0005-0000-0000-00009F130000}"/>
    <cellStyle name="Normal 25 2 2 4" xfId="3349" xr:uid="{00000000-0005-0000-0000-0000A0130000}"/>
    <cellStyle name="Normal 25 2 3" xfId="1615" xr:uid="{00000000-0005-0000-0000-0000A1130000}"/>
    <cellStyle name="Normal 25 2 3 2" xfId="5519" xr:uid="{00000000-0005-0000-0000-0000A2130000}"/>
    <cellStyle name="Normal 25 2 4" xfId="5520" xr:uid="{00000000-0005-0000-0000-0000A3130000}"/>
    <cellStyle name="Normal 25 2 5" xfId="2774" xr:uid="{00000000-0005-0000-0000-0000A4130000}"/>
    <cellStyle name="Normal 25 3" xfId="1008" xr:uid="{00000000-0005-0000-0000-0000A5130000}"/>
    <cellStyle name="Normal 25 3 2" xfId="1910" xr:uid="{00000000-0005-0000-0000-0000A6130000}"/>
    <cellStyle name="Normal 25 3 2 2" xfId="5521" xr:uid="{00000000-0005-0000-0000-0000A7130000}"/>
    <cellStyle name="Normal 25 3 3" xfId="5522" xr:uid="{00000000-0005-0000-0000-0000A8130000}"/>
    <cellStyle name="Normal 25 3 4" xfId="3070" xr:uid="{00000000-0005-0000-0000-0000A9130000}"/>
    <cellStyle name="Normal 25 4" xfId="1335" xr:uid="{00000000-0005-0000-0000-0000AA130000}"/>
    <cellStyle name="Normal 25 4 2" xfId="5523" xr:uid="{00000000-0005-0000-0000-0000AB130000}"/>
    <cellStyle name="Normal 25 5" xfId="5524" xr:uid="{00000000-0005-0000-0000-0000AC130000}"/>
    <cellStyle name="Normal 25 6" xfId="2494" xr:uid="{00000000-0005-0000-0000-0000AD130000}"/>
    <cellStyle name="Normal 26" xfId="1009" xr:uid="{00000000-0005-0000-0000-0000AE130000}"/>
    <cellStyle name="Normal 26 2" xfId="1010" xr:uid="{00000000-0005-0000-0000-0000AF130000}"/>
    <cellStyle name="Normal 26 2 2" xfId="1011" xr:uid="{00000000-0005-0000-0000-0000B0130000}"/>
    <cellStyle name="Normal 26 2 2 2" xfId="2190" xr:uid="{00000000-0005-0000-0000-0000B1130000}"/>
    <cellStyle name="Normal 26 2 2 2 2" xfId="5525" xr:uid="{00000000-0005-0000-0000-0000B2130000}"/>
    <cellStyle name="Normal 26 2 2 3" xfId="5526" xr:uid="{00000000-0005-0000-0000-0000B3130000}"/>
    <cellStyle name="Normal 26 2 2 4" xfId="3350" xr:uid="{00000000-0005-0000-0000-0000B4130000}"/>
    <cellStyle name="Normal 26 2 3" xfId="1616" xr:uid="{00000000-0005-0000-0000-0000B5130000}"/>
    <cellStyle name="Normal 26 2 3 2" xfId="5527" xr:uid="{00000000-0005-0000-0000-0000B6130000}"/>
    <cellStyle name="Normal 26 2 4" xfId="5528" xr:uid="{00000000-0005-0000-0000-0000B7130000}"/>
    <cellStyle name="Normal 26 2 5" xfId="2775" xr:uid="{00000000-0005-0000-0000-0000B8130000}"/>
    <cellStyle name="Normal 26 3" xfId="1012" xr:uid="{00000000-0005-0000-0000-0000B9130000}"/>
    <cellStyle name="Normal 26 3 2" xfId="1911" xr:uid="{00000000-0005-0000-0000-0000BA130000}"/>
    <cellStyle name="Normal 26 3 2 2" xfId="5529" xr:uid="{00000000-0005-0000-0000-0000BB130000}"/>
    <cellStyle name="Normal 26 3 3" xfId="5530" xr:uid="{00000000-0005-0000-0000-0000BC130000}"/>
    <cellStyle name="Normal 26 3 4" xfId="3071" xr:uid="{00000000-0005-0000-0000-0000BD130000}"/>
    <cellStyle name="Normal 26 4" xfId="1336" xr:uid="{00000000-0005-0000-0000-0000BE130000}"/>
    <cellStyle name="Normal 26 4 2" xfId="5531" xr:uid="{00000000-0005-0000-0000-0000BF130000}"/>
    <cellStyle name="Normal 26 5" xfId="5532" xr:uid="{00000000-0005-0000-0000-0000C0130000}"/>
    <cellStyle name="Normal 26 6" xfId="2495" xr:uid="{00000000-0005-0000-0000-0000C1130000}"/>
    <cellStyle name="Normal 27" xfId="1013" xr:uid="{00000000-0005-0000-0000-0000C2130000}"/>
    <cellStyle name="Normal 27 2" xfId="1014" xr:uid="{00000000-0005-0000-0000-0000C3130000}"/>
    <cellStyle name="Normal 27 2 2" xfId="1015" xr:uid="{00000000-0005-0000-0000-0000C4130000}"/>
    <cellStyle name="Normal 27 2 2 2" xfId="2191" xr:uid="{00000000-0005-0000-0000-0000C5130000}"/>
    <cellStyle name="Normal 27 2 2 2 2" xfId="5533" xr:uid="{00000000-0005-0000-0000-0000C6130000}"/>
    <cellStyle name="Normal 27 2 2 3" xfId="5534" xr:uid="{00000000-0005-0000-0000-0000C7130000}"/>
    <cellStyle name="Normal 27 2 2 4" xfId="3351" xr:uid="{00000000-0005-0000-0000-0000C8130000}"/>
    <cellStyle name="Normal 27 2 3" xfId="1617" xr:uid="{00000000-0005-0000-0000-0000C9130000}"/>
    <cellStyle name="Normal 27 2 3 2" xfId="5535" xr:uid="{00000000-0005-0000-0000-0000CA130000}"/>
    <cellStyle name="Normal 27 2 4" xfId="5536" xr:uid="{00000000-0005-0000-0000-0000CB130000}"/>
    <cellStyle name="Normal 27 2 5" xfId="2776" xr:uid="{00000000-0005-0000-0000-0000CC130000}"/>
    <cellStyle name="Normal 27 3" xfId="1016" xr:uid="{00000000-0005-0000-0000-0000CD130000}"/>
    <cellStyle name="Normal 27 3 2" xfId="1912" xr:uid="{00000000-0005-0000-0000-0000CE130000}"/>
    <cellStyle name="Normal 27 3 2 2" xfId="5537" xr:uid="{00000000-0005-0000-0000-0000CF130000}"/>
    <cellStyle name="Normal 27 3 3" xfId="5538" xr:uid="{00000000-0005-0000-0000-0000D0130000}"/>
    <cellStyle name="Normal 27 3 4" xfId="3072" xr:uid="{00000000-0005-0000-0000-0000D1130000}"/>
    <cellStyle name="Normal 27 4" xfId="1337" xr:uid="{00000000-0005-0000-0000-0000D2130000}"/>
    <cellStyle name="Normal 27 4 2" xfId="5539" xr:uid="{00000000-0005-0000-0000-0000D3130000}"/>
    <cellStyle name="Normal 27 5" xfId="5540" xr:uid="{00000000-0005-0000-0000-0000D4130000}"/>
    <cellStyle name="Normal 27 6" xfId="2496" xr:uid="{00000000-0005-0000-0000-0000D5130000}"/>
    <cellStyle name="Normal 28" xfId="1017" xr:uid="{00000000-0005-0000-0000-0000D6130000}"/>
    <cellStyle name="Normal 28 2" xfId="1018" xr:uid="{00000000-0005-0000-0000-0000D7130000}"/>
    <cellStyle name="Normal 28 2 2" xfId="2049" xr:uid="{00000000-0005-0000-0000-0000D8130000}"/>
    <cellStyle name="Normal 28 2 2 2" xfId="5541" xr:uid="{00000000-0005-0000-0000-0000D9130000}"/>
    <cellStyle name="Normal 28 2 3" xfId="5542" xr:uid="{00000000-0005-0000-0000-0000DA130000}"/>
    <cellStyle name="Normal 28 2 4" xfId="5543" xr:uid="{00000000-0005-0000-0000-0000DB130000}"/>
    <cellStyle name="Normal 28 2 5" xfId="3209" xr:uid="{00000000-0005-0000-0000-0000DC130000}"/>
    <cellStyle name="Normal 28 3" xfId="1019" xr:uid="{00000000-0005-0000-0000-0000DD130000}"/>
    <cellStyle name="Normal 28 3 2" xfId="5544" xr:uid="{00000000-0005-0000-0000-0000DE130000}"/>
    <cellStyle name="Normal 28 4" xfId="1475" xr:uid="{00000000-0005-0000-0000-0000DF130000}"/>
    <cellStyle name="Normal 28 4 2" xfId="5545" xr:uid="{00000000-0005-0000-0000-0000E0130000}"/>
    <cellStyle name="Normal 28 5" xfId="5546" xr:uid="{00000000-0005-0000-0000-0000E1130000}"/>
    <cellStyle name="Normal 28 6" xfId="2634" xr:uid="{00000000-0005-0000-0000-0000E2130000}"/>
    <cellStyle name="Normal 29" xfId="1020" xr:uid="{00000000-0005-0000-0000-0000E3130000}"/>
    <cellStyle name="Normal 29 2" xfId="1021" xr:uid="{00000000-0005-0000-0000-0000E4130000}"/>
    <cellStyle name="Normal 29 2 2" xfId="2193" xr:uid="{00000000-0005-0000-0000-0000E5130000}"/>
    <cellStyle name="Normal 29 2 2 2" xfId="5547" xr:uid="{00000000-0005-0000-0000-0000E6130000}"/>
    <cellStyle name="Normal 29 2 3" xfId="5548" xr:uid="{00000000-0005-0000-0000-0000E7130000}"/>
    <cellStyle name="Normal 29 2 4" xfId="3353" xr:uid="{00000000-0005-0000-0000-0000E8130000}"/>
    <cellStyle name="Normal 29 3" xfId="1619" xr:uid="{00000000-0005-0000-0000-0000E9130000}"/>
    <cellStyle name="Normal 29 3 2" xfId="5549" xr:uid="{00000000-0005-0000-0000-0000EA130000}"/>
    <cellStyle name="Normal 29 4" xfId="5550" xr:uid="{00000000-0005-0000-0000-0000EB130000}"/>
    <cellStyle name="Normal 29 5" xfId="2778" xr:uid="{00000000-0005-0000-0000-0000EC130000}"/>
    <cellStyle name="Normal 3" xfId="1022" xr:uid="{00000000-0005-0000-0000-0000ED130000}"/>
    <cellStyle name="Normal 3 10" xfId="1232" xr:uid="{00000000-0005-0000-0000-0000EE130000}"/>
    <cellStyle name="Normal 3 10 2" xfId="5551" xr:uid="{00000000-0005-0000-0000-0000EF130000}"/>
    <cellStyle name="Normal 3 11" xfId="5552" xr:uid="{00000000-0005-0000-0000-0000F0130000}"/>
    <cellStyle name="Normal 3 12" xfId="2391" xr:uid="{00000000-0005-0000-0000-0000F1130000}"/>
    <cellStyle name="Normal 3 2" xfId="1023" xr:uid="{00000000-0005-0000-0000-0000F2130000}"/>
    <cellStyle name="Normal 3 2 2" xfId="1024" xr:uid="{00000000-0005-0000-0000-0000F3130000}"/>
    <cellStyle name="Normal 3 2 2 2" xfId="1025" xr:uid="{00000000-0005-0000-0000-0000F4130000}"/>
    <cellStyle name="Normal 3 2 2 2 2" xfId="1997" xr:uid="{00000000-0005-0000-0000-0000F5130000}"/>
    <cellStyle name="Normal 3 2 2 2 2 2" xfId="5553" xr:uid="{00000000-0005-0000-0000-0000F6130000}"/>
    <cellStyle name="Normal 3 2 2 2 3" xfId="5554" xr:uid="{00000000-0005-0000-0000-0000F7130000}"/>
    <cellStyle name="Normal 3 2 2 2 4" xfId="3157" xr:uid="{00000000-0005-0000-0000-0000F8130000}"/>
    <cellStyle name="Normal 3 2 2 3" xfId="1423" xr:uid="{00000000-0005-0000-0000-0000F9130000}"/>
    <cellStyle name="Normal 3 2 2 3 2" xfId="5555" xr:uid="{00000000-0005-0000-0000-0000FA130000}"/>
    <cellStyle name="Normal 3 2 2 4" xfId="5556" xr:uid="{00000000-0005-0000-0000-0000FB130000}"/>
    <cellStyle name="Normal 3 2 2 5" xfId="2582" xr:uid="{00000000-0005-0000-0000-0000FC130000}"/>
    <cellStyle name="Normal 3 2 3" xfId="1026" xr:uid="{00000000-0005-0000-0000-0000FD130000}"/>
    <cellStyle name="Normal 3 2 3 2" xfId="1027" xr:uid="{00000000-0005-0000-0000-0000FE130000}"/>
    <cellStyle name="Normal 3 2 3 2 2" xfId="2133" xr:uid="{00000000-0005-0000-0000-0000FF130000}"/>
    <cellStyle name="Normal 3 2 3 2 2 2" xfId="5557" xr:uid="{00000000-0005-0000-0000-000000140000}"/>
    <cellStyle name="Normal 3 2 3 2 3" xfId="5558" xr:uid="{00000000-0005-0000-0000-000001140000}"/>
    <cellStyle name="Normal 3 2 3 2 4" xfId="3293" xr:uid="{00000000-0005-0000-0000-000002140000}"/>
    <cellStyle name="Normal 3 2 3 3" xfId="1559" xr:uid="{00000000-0005-0000-0000-000003140000}"/>
    <cellStyle name="Normal 3 2 3 3 2" xfId="5559" xr:uid="{00000000-0005-0000-0000-000004140000}"/>
    <cellStyle name="Normal 3 2 3 4" xfId="5560" xr:uid="{00000000-0005-0000-0000-000005140000}"/>
    <cellStyle name="Normal 3 2 3 5" xfId="2718" xr:uid="{00000000-0005-0000-0000-000006140000}"/>
    <cellStyle name="Normal 3 2 4" xfId="1028" xr:uid="{00000000-0005-0000-0000-000007140000}"/>
    <cellStyle name="Normal 3 2 4 2" xfId="1029" xr:uid="{00000000-0005-0000-0000-000008140000}"/>
    <cellStyle name="Normal 3 2 4 2 2" xfId="2279" xr:uid="{00000000-0005-0000-0000-000009140000}"/>
    <cellStyle name="Normal 3 2 4 2 2 2" xfId="5561" xr:uid="{00000000-0005-0000-0000-00000A140000}"/>
    <cellStyle name="Normal 3 2 4 2 3" xfId="5562" xr:uid="{00000000-0005-0000-0000-00000B140000}"/>
    <cellStyle name="Normal 3 2 4 2 4" xfId="3439" xr:uid="{00000000-0005-0000-0000-00000C140000}"/>
    <cellStyle name="Normal 3 2 4 3" xfId="1705" xr:uid="{00000000-0005-0000-0000-00000D140000}"/>
    <cellStyle name="Normal 3 2 4 3 2" xfId="5563" xr:uid="{00000000-0005-0000-0000-00000E140000}"/>
    <cellStyle name="Normal 3 2 4 4" xfId="5564" xr:uid="{00000000-0005-0000-0000-00000F140000}"/>
    <cellStyle name="Normal 3 2 4 5" xfId="2864" xr:uid="{00000000-0005-0000-0000-000010140000}"/>
    <cellStyle name="Normal 3 2 5" xfId="1030" xr:uid="{00000000-0005-0000-0000-000011140000}"/>
    <cellStyle name="Normal 3 2 5 2" xfId="1854" xr:uid="{00000000-0005-0000-0000-000012140000}"/>
    <cellStyle name="Normal 3 2 5 2 2" xfId="5565" xr:uid="{00000000-0005-0000-0000-000013140000}"/>
    <cellStyle name="Normal 3 2 5 3" xfId="5566" xr:uid="{00000000-0005-0000-0000-000014140000}"/>
    <cellStyle name="Normal 3 2 5 4" xfId="3014" xr:uid="{00000000-0005-0000-0000-000015140000}"/>
    <cellStyle name="Normal 3 2 6" xfId="1279" xr:uid="{00000000-0005-0000-0000-000016140000}"/>
    <cellStyle name="Normal 3 2 6 2" xfId="5567" xr:uid="{00000000-0005-0000-0000-000017140000}"/>
    <cellStyle name="Normal 3 2 7" xfId="5568" xr:uid="{00000000-0005-0000-0000-000018140000}"/>
    <cellStyle name="Normal 3 2 8" xfId="2438" xr:uid="{00000000-0005-0000-0000-000019140000}"/>
    <cellStyle name="Normal 3 3" xfId="1031" xr:uid="{00000000-0005-0000-0000-00001A140000}"/>
    <cellStyle name="Normal 3 3 2" xfId="1032" xr:uid="{00000000-0005-0000-0000-00001B140000}"/>
    <cellStyle name="Normal 3 3 2 2" xfId="1033" xr:uid="{00000000-0005-0000-0000-00001C140000}"/>
    <cellStyle name="Normal 3 3 2 2 2" xfId="2039" xr:uid="{00000000-0005-0000-0000-00001D140000}"/>
    <cellStyle name="Normal 3 3 2 2 2 2" xfId="5569" xr:uid="{00000000-0005-0000-0000-00001E140000}"/>
    <cellStyle name="Normal 3 3 2 2 3" xfId="5570" xr:uid="{00000000-0005-0000-0000-00001F140000}"/>
    <cellStyle name="Normal 3 3 2 2 4" xfId="3199" xr:uid="{00000000-0005-0000-0000-000020140000}"/>
    <cellStyle name="Normal 3 3 2 3" xfId="1465" xr:uid="{00000000-0005-0000-0000-000021140000}"/>
    <cellStyle name="Normal 3 3 2 3 2" xfId="5571" xr:uid="{00000000-0005-0000-0000-000022140000}"/>
    <cellStyle name="Normal 3 3 2 4" xfId="5572" xr:uid="{00000000-0005-0000-0000-000023140000}"/>
    <cellStyle name="Normal 3 3 2 5" xfId="2624" xr:uid="{00000000-0005-0000-0000-000024140000}"/>
    <cellStyle name="Normal 3 3 3" xfId="1034" xr:uid="{00000000-0005-0000-0000-000025140000}"/>
    <cellStyle name="Normal 3 3 3 2" xfId="1035" xr:uid="{00000000-0005-0000-0000-000026140000}"/>
    <cellStyle name="Normal 3 3 3 2 2" xfId="2175" xr:uid="{00000000-0005-0000-0000-000027140000}"/>
    <cellStyle name="Normal 3 3 3 2 2 2" xfId="5573" xr:uid="{00000000-0005-0000-0000-000028140000}"/>
    <cellStyle name="Normal 3 3 3 2 3" xfId="5574" xr:uid="{00000000-0005-0000-0000-000029140000}"/>
    <cellStyle name="Normal 3 3 3 2 4" xfId="3335" xr:uid="{00000000-0005-0000-0000-00002A140000}"/>
    <cellStyle name="Normal 3 3 3 3" xfId="1601" xr:uid="{00000000-0005-0000-0000-00002B140000}"/>
    <cellStyle name="Normal 3 3 3 3 2" xfId="5575" xr:uid="{00000000-0005-0000-0000-00002C140000}"/>
    <cellStyle name="Normal 3 3 3 4" xfId="5576" xr:uid="{00000000-0005-0000-0000-00002D140000}"/>
    <cellStyle name="Normal 3 3 3 5" xfId="2760" xr:uid="{00000000-0005-0000-0000-00002E140000}"/>
    <cellStyle name="Normal 3 3 4" xfId="1036" xr:uid="{00000000-0005-0000-0000-00002F140000}"/>
    <cellStyle name="Normal 3 3 4 2" xfId="1037" xr:uid="{00000000-0005-0000-0000-000030140000}"/>
    <cellStyle name="Normal 3 3 4 2 2" xfId="2321" xr:uid="{00000000-0005-0000-0000-000031140000}"/>
    <cellStyle name="Normal 3 3 4 2 2 2" xfId="5577" xr:uid="{00000000-0005-0000-0000-000032140000}"/>
    <cellStyle name="Normal 3 3 4 2 3" xfId="5578" xr:uid="{00000000-0005-0000-0000-000033140000}"/>
    <cellStyle name="Normal 3 3 4 2 4" xfId="3481" xr:uid="{00000000-0005-0000-0000-000034140000}"/>
    <cellStyle name="Normal 3 3 4 3" xfId="1747" xr:uid="{00000000-0005-0000-0000-000035140000}"/>
    <cellStyle name="Normal 3 3 4 3 2" xfId="5579" xr:uid="{00000000-0005-0000-0000-000036140000}"/>
    <cellStyle name="Normal 3 3 4 4" xfId="5580" xr:uid="{00000000-0005-0000-0000-000037140000}"/>
    <cellStyle name="Normal 3 3 4 5" xfId="2906" xr:uid="{00000000-0005-0000-0000-000038140000}"/>
    <cellStyle name="Normal 3 3 5" xfId="1038" xr:uid="{00000000-0005-0000-0000-000039140000}"/>
    <cellStyle name="Normal 3 3 5 2" xfId="1896" xr:uid="{00000000-0005-0000-0000-00003A140000}"/>
    <cellStyle name="Normal 3 3 5 2 2" xfId="5581" xr:uid="{00000000-0005-0000-0000-00003B140000}"/>
    <cellStyle name="Normal 3 3 5 3" xfId="5582" xr:uid="{00000000-0005-0000-0000-00003C140000}"/>
    <cellStyle name="Normal 3 3 5 4" xfId="3056" xr:uid="{00000000-0005-0000-0000-00003D140000}"/>
    <cellStyle name="Normal 3 3 6" xfId="1321" xr:uid="{00000000-0005-0000-0000-00003E140000}"/>
    <cellStyle name="Normal 3 3 6 2" xfId="5583" xr:uid="{00000000-0005-0000-0000-00003F140000}"/>
    <cellStyle name="Normal 3 3 7" xfId="5584" xr:uid="{00000000-0005-0000-0000-000040140000}"/>
    <cellStyle name="Normal 3 3 8" xfId="2480" xr:uid="{00000000-0005-0000-0000-000041140000}"/>
    <cellStyle name="Normal 3 4" xfId="1039" xr:uid="{00000000-0005-0000-0000-000042140000}"/>
    <cellStyle name="Normal 3 4 2" xfId="1040" xr:uid="{00000000-0005-0000-0000-000043140000}"/>
    <cellStyle name="Normal 3 4 2 2" xfId="1950" xr:uid="{00000000-0005-0000-0000-000044140000}"/>
    <cellStyle name="Normal 3 4 2 2 2" xfId="5585" xr:uid="{00000000-0005-0000-0000-000045140000}"/>
    <cellStyle name="Normal 3 4 2 3" xfId="5586" xr:uid="{00000000-0005-0000-0000-000046140000}"/>
    <cellStyle name="Normal 3 4 2 4" xfId="3110" xr:uid="{00000000-0005-0000-0000-000047140000}"/>
    <cellStyle name="Normal 3 4 3" xfId="1376" xr:uid="{00000000-0005-0000-0000-000048140000}"/>
    <cellStyle name="Normal 3 4 3 2" xfId="5587" xr:uid="{00000000-0005-0000-0000-000049140000}"/>
    <cellStyle name="Normal 3 4 4" xfId="5588" xr:uid="{00000000-0005-0000-0000-00004A140000}"/>
    <cellStyle name="Normal 3 4 5" xfId="2535" xr:uid="{00000000-0005-0000-0000-00004B140000}"/>
    <cellStyle name="Normal 3 5" xfId="1041" xr:uid="{00000000-0005-0000-0000-00004C140000}"/>
    <cellStyle name="Normal 3 5 2" xfId="1042" xr:uid="{00000000-0005-0000-0000-00004D140000}"/>
    <cellStyle name="Normal 3 5 2 2" xfId="2086" xr:uid="{00000000-0005-0000-0000-00004E140000}"/>
    <cellStyle name="Normal 3 5 2 2 2" xfId="5589" xr:uid="{00000000-0005-0000-0000-00004F140000}"/>
    <cellStyle name="Normal 3 5 2 3" xfId="5590" xr:uid="{00000000-0005-0000-0000-000050140000}"/>
    <cellStyle name="Normal 3 5 2 4" xfId="3246" xr:uid="{00000000-0005-0000-0000-000051140000}"/>
    <cellStyle name="Normal 3 5 3" xfId="1512" xr:uid="{00000000-0005-0000-0000-000052140000}"/>
    <cellStyle name="Normal 3 5 3 2" xfId="5591" xr:uid="{00000000-0005-0000-0000-000053140000}"/>
    <cellStyle name="Normal 3 5 4" xfId="5592" xr:uid="{00000000-0005-0000-0000-000054140000}"/>
    <cellStyle name="Normal 3 5 5" xfId="2671" xr:uid="{00000000-0005-0000-0000-000055140000}"/>
    <cellStyle name="Normal 3 6" xfId="1043" xr:uid="{00000000-0005-0000-0000-000056140000}"/>
    <cellStyle name="Normal 3 6 2" xfId="1044" xr:uid="{00000000-0005-0000-0000-000057140000}"/>
    <cellStyle name="Normal 3 6 2 2" xfId="2232" xr:uid="{00000000-0005-0000-0000-000058140000}"/>
    <cellStyle name="Normal 3 6 2 2 2" xfId="5593" xr:uid="{00000000-0005-0000-0000-000059140000}"/>
    <cellStyle name="Normal 3 6 2 3" xfId="5594" xr:uid="{00000000-0005-0000-0000-00005A140000}"/>
    <cellStyle name="Normal 3 6 2 4" xfId="3392" xr:uid="{00000000-0005-0000-0000-00005B140000}"/>
    <cellStyle name="Normal 3 6 3" xfId="1658" xr:uid="{00000000-0005-0000-0000-00005C140000}"/>
    <cellStyle name="Normal 3 6 3 2" xfId="5595" xr:uid="{00000000-0005-0000-0000-00005D140000}"/>
    <cellStyle name="Normal 3 6 4" xfId="5596" xr:uid="{00000000-0005-0000-0000-00005E140000}"/>
    <cellStyle name="Normal 3 6 5" xfId="2817" xr:uid="{00000000-0005-0000-0000-00005F140000}"/>
    <cellStyle name="Normal 3 7" xfId="1045" xr:uid="{00000000-0005-0000-0000-000060140000}"/>
    <cellStyle name="Normal 3 7 2" xfId="1807" xr:uid="{00000000-0005-0000-0000-000061140000}"/>
    <cellStyle name="Normal 3 7 2 2" xfId="5597" xr:uid="{00000000-0005-0000-0000-000062140000}"/>
    <cellStyle name="Normal 3 7 3" xfId="5598" xr:uid="{00000000-0005-0000-0000-000063140000}"/>
    <cellStyle name="Normal 3 7 4" xfId="5599" xr:uid="{00000000-0005-0000-0000-000064140000}"/>
    <cellStyle name="Normal 3 7 5" xfId="2967" xr:uid="{00000000-0005-0000-0000-000065140000}"/>
    <cellStyle name="Normal 3 8" xfId="1046" xr:uid="{00000000-0005-0000-0000-000066140000}"/>
    <cellStyle name="Normal 3 8 2" xfId="5600" xr:uid="{00000000-0005-0000-0000-000067140000}"/>
    <cellStyle name="Normal 3 9" xfId="1194" xr:uid="{00000000-0005-0000-0000-000068140000}"/>
    <cellStyle name="Normal 3 9 2" xfId="5601" xr:uid="{00000000-0005-0000-0000-000069140000}"/>
    <cellStyle name="Normal 30" xfId="1047" xr:uid="{00000000-0005-0000-0000-00006A140000}"/>
    <cellStyle name="Normal 30 2" xfId="1048" xr:uid="{00000000-0005-0000-0000-00006B140000}"/>
    <cellStyle name="Normal 30 2 2" xfId="2331" xr:uid="{00000000-0005-0000-0000-00006C140000}"/>
    <cellStyle name="Normal 30 2 2 2" xfId="5602" xr:uid="{00000000-0005-0000-0000-00006D140000}"/>
    <cellStyle name="Normal 30 2 3" xfId="5603" xr:uid="{00000000-0005-0000-0000-00006E140000}"/>
    <cellStyle name="Normal 30 2 4" xfId="3491" xr:uid="{00000000-0005-0000-0000-00006F140000}"/>
    <cellStyle name="Normal 30 3" xfId="1757" xr:uid="{00000000-0005-0000-0000-000070140000}"/>
    <cellStyle name="Normal 30 3 2" xfId="5604" xr:uid="{00000000-0005-0000-0000-000071140000}"/>
    <cellStyle name="Normal 30 4" xfId="5605" xr:uid="{00000000-0005-0000-0000-000072140000}"/>
    <cellStyle name="Normal 30 5" xfId="2916" xr:uid="{00000000-0005-0000-0000-000073140000}"/>
    <cellStyle name="Normal 31" xfId="1049" xr:uid="{00000000-0005-0000-0000-000074140000}"/>
    <cellStyle name="Normal 31 2" xfId="1050" xr:uid="{00000000-0005-0000-0000-000075140000}"/>
    <cellStyle name="Normal 31 2 2" xfId="2337" xr:uid="{00000000-0005-0000-0000-000076140000}"/>
    <cellStyle name="Normal 31 2 2 2" xfId="5606" xr:uid="{00000000-0005-0000-0000-000077140000}"/>
    <cellStyle name="Normal 31 2 3" xfId="5607" xr:uid="{00000000-0005-0000-0000-000078140000}"/>
    <cellStyle name="Normal 31 2 4" xfId="3495" xr:uid="{00000000-0005-0000-0000-000079140000}"/>
    <cellStyle name="Normal 31 3" xfId="2332" xr:uid="{00000000-0005-0000-0000-00007A140000}"/>
    <cellStyle name="Normal 31 3 2" xfId="5608" xr:uid="{00000000-0005-0000-0000-00007B140000}"/>
    <cellStyle name="Normal 31 4" xfId="1758" xr:uid="{00000000-0005-0000-0000-00007C140000}"/>
    <cellStyle name="Normal 31 4 2" xfId="5609" xr:uid="{00000000-0005-0000-0000-00007D140000}"/>
    <cellStyle name="Normal 31 5" xfId="5610" xr:uid="{00000000-0005-0000-0000-00007E140000}"/>
    <cellStyle name="Normal 31 6" xfId="2917" xr:uid="{00000000-0005-0000-0000-00007F140000}"/>
    <cellStyle name="Normal 32" xfId="1051" xr:uid="{00000000-0005-0000-0000-000080140000}"/>
    <cellStyle name="Normal 33" xfId="1052" xr:uid="{00000000-0005-0000-0000-000081140000}"/>
    <cellStyle name="Normal 33 2" xfId="1053" xr:uid="{00000000-0005-0000-0000-000082140000}"/>
    <cellStyle name="Normal 33 2 2" xfId="2338" xr:uid="{00000000-0005-0000-0000-000083140000}"/>
    <cellStyle name="Normal 33 2 2 2" xfId="5611" xr:uid="{00000000-0005-0000-0000-000084140000}"/>
    <cellStyle name="Normal 33 2 3" xfId="5612" xr:uid="{00000000-0005-0000-0000-000085140000}"/>
    <cellStyle name="Normal 33 2 4" xfId="3496" xr:uid="{00000000-0005-0000-0000-000086140000}"/>
    <cellStyle name="Normal 33 3" xfId="1759" xr:uid="{00000000-0005-0000-0000-000087140000}"/>
    <cellStyle name="Normal 33 3 2" xfId="5613" xr:uid="{00000000-0005-0000-0000-000088140000}"/>
    <cellStyle name="Normal 33 4" xfId="5614" xr:uid="{00000000-0005-0000-0000-000089140000}"/>
    <cellStyle name="Normal 33 5" xfId="2918" xr:uid="{00000000-0005-0000-0000-00008A140000}"/>
    <cellStyle name="Normal 34" xfId="1054" xr:uid="{00000000-0005-0000-0000-00008B140000}"/>
    <cellStyle name="Normal 34 2" xfId="1055" xr:uid="{00000000-0005-0000-0000-00008C140000}"/>
    <cellStyle name="Normal 34 2 2" xfId="2339" xr:uid="{00000000-0005-0000-0000-00008D140000}"/>
    <cellStyle name="Normal 34 2 2 2" xfId="5615" xr:uid="{00000000-0005-0000-0000-00008E140000}"/>
    <cellStyle name="Normal 34 2 3" xfId="5616" xr:uid="{00000000-0005-0000-0000-00008F140000}"/>
    <cellStyle name="Normal 34 2 4" xfId="3497" xr:uid="{00000000-0005-0000-0000-000090140000}"/>
    <cellStyle name="Normal 34 3" xfId="1760" xr:uid="{00000000-0005-0000-0000-000091140000}"/>
    <cellStyle name="Normal 34 3 2" xfId="5617" xr:uid="{00000000-0005-0000-0000-000092140000}"/>
    <cellStyle name="Normal 34 4" xfId="5618" xr:uid="{00000000-0005-0000-0000-000093140000}"/>
    <cellStyle name="Normal 34 5" xfId="2919" xr:uid="{00000000-0005-0000-0000-000094140000}"/>
    <cellStyle name="Normal 35" xfId="1056" xr:uid="{00000000-0005-0000-0000-000095140000}"/>
    <cellStyle name="Normal 35 2" xfId="1057" xr:uid="{00000000-0005-0000-0000-000096140000}"/>
    <cellStyle name="Normal 35 2 2" xfId="2340" xr:uid="{00000000-0005-0000-0000-000097140000}"/>
    <cellStyle name="Normal 35 2 2 2" xfId="5619" xr:uid="{00000000-0005-0000-0000-000098140000}"/>
    <cellStyle name="Normal 35 2 3" xfId="5620" xr:uid="{00000000-0005-0000-0000-000099140000}"/>
    <cellStyle name="Normal 35 2 4" xfId="3498" xr:uid="{00000000-0005-0000-0000-00009A140000}"/>
    <cellStyle name="Normal 35 3" xfId="1761" xr:uid="{00000000-0005-0000-0000-00009B140000}"/>
    <cellStyle name="Normal 35 3 2" xfId="5621" xr:uid="{00000000-0005-0000-0000-00009C140000}"/>
    <cellStyle name="Normal 35 4" xfId="5622" xr:uid="{00000000-0005-0000-0000-00009D140000}"/>
    <cellStyle name="Normal 35 5" xfId="2920" xr:uid="{00000000-0005-0000-0000-00009E140000}"/>
    <cellStyle name="Normal 36" xfId="1058" xr:uid="{00000000-0005-0000-0000-00009F140000}"/>
    <cellStyle name="Normal 36 2" xfId="1059" xr:uid="{00000000-0005-0000-0000-0000A0140000}"/>
    <cellStyle name="Normal 36 2 2" xfId="2341" xr:uid="{00000000-0005-0000-0000-0000A1140000}"/>
    <cellStyle name="Normal 36 2 2 2" xfId="5623" xr:uid="{00000000-0005-0000-0000-0000A2140000}"/>
    <cellStyle name="Normal 36 2 3" xfId="5624" xr:uid="{00000000-0005-0000-0000-0000A3140000}"/>
    <cellStyle name="Normal 36 2 4" xfId="3499" xr:uid="{00000000-0005-0000-0000-0000A4140000}"/>
    <cellStyle name="Normal 36 3" xfId="1762" xr:uid="{00000000-0005-0000-0000-0000A5140000}"/>
    <cellStyle name="Normal 36 3 2" xfId="5625" xr:uid="{00000000-0005-0000-0000-0000A6140000}"/>
    <cellStyle name="Normal 36 4" xfId="5626" xr:uid="{00000000-0005-0000-0000-0000A7140000}"/>
    <cellStyle name="Normal 36 5" xfId="2921" xr:uid="{00000000-0005-0000-0000-0000A8140000}"/>
    <cellStyle name="Normal 37" xfId="1060" xr:uid="{00000000-0005-0000-0000-0000A9140000}"/>
    <cellStyle name="Normal 37 2" xfId="1061" xr:uid="{00000000-0005-0000-0000-0000AA140000}"/>
    <cellStyle name="Normal 37 2 2" xfId="2342" xr:uid="{00000000-0005-0000-0000-0000AB140000}"/>
    <cellStyle name="Normal 37 2 2 2" xfId="5627" xr:uid="{00000000-0005-0000-0000-0000AC140000}"/>
    <cellStyle name="Normal 37 2 3" xfId="5628" xr:uid="{00000000-0005-0000-0000-0000AD140000}"/>
    <cellStyle name="Normal 37 2 4" xfId="3500" xr:uid="{00000000-0005-0000-0000-0000AE140000}"/>
    <cellStyle name="Normal 37 3" xfId="1766" xr:uid="{00000000-0005-0000-0000-0000AF140000}"/>
    <cellStyle name="Normal 37 3 2" xfId="5629" xr:uid="{00000000-0005-0000-0000-0000B0140000}"/>
    <cellStyle name="Normal 37 4" xfId="5630" xr:uid="{00000000-0005-0000-0000-0000B1140000}"/>
    <cellStyle name="Normal 37 5" xfId="2925" xr:uid="{00000000-0005-0000-0000-0000B2140000}"/>
    <cellStyle name="Normal 38" xfId="1062" xr:uid="{00000000-0005-0000-0000-0000B3140000}"/>
    <cellStyle name="Normal 38 2" xfId="1189" xr:uid="{00000000-0005-0000-0000-0000B4140000}"/>
    <cellStyle name="Normal 38 2 2" xfId="2333" xr:uid="{00000000-0005-0000-0000-0000B5140000}"/>
    <cellStyle name="Normal 38 2 2 2" xfId="5631" xr:uid="{00000000-0005-0000-0000-0000B6140000}"/>
    <cellStyle name="Normal 38 2 3" xfId="5632" xr:uid="{00000000-0005-0000-0000-0000B7140000}"/>
    <cellStyle name="Normal 38 2 4" xfId="3492" xr:uid="{00000000-0005-0000-0000-0000B8140000}"/>
    <cellStyle name="Normal 38 3" xfId="1767" xr:uid="{00000000-0005-0000-0000-0000B9140000}"/>
    <cellStyle name="Normal 38 3 2" xfId="5633" xr:uid="{00000000-0005-0000-0000-0000BA140000}"/>
    <cellStyle name="Normal 38 4" xfId="5634" xr:uid="{00000000-0005-0000-0000-0000BB140000}"/>
    <cellStyle name="Normal 38 5" xfId="5635" xr:uid="{00000000-0005-0000-0000-0000BC140000}"/>
    <cellStyle name="Normal 38 6" xfId="2926" xr:uid="{00000000-0005-0000-0000-0000BD140000}"/>
    <cellStyle name="Normal 39" xfId="1063" xr:uid="{00000000-0005-0000-0000-0000BE140000}"/>
    <cellStyle name="Normal 39 2" xfId="1192" xr:uid="{00000000-0005-0000-0000-0000BF140000}"/>
    <cellStyle name="Normal 39 2 2" xfId="5636" xr:uid="{00000000-0005-0000-0000-0000C0140000}"/>
    <cellStyle name="Normal 39 3" xfId="5637" xr:uid="{00000000-0005-0000-0000-0000C1140000}"/>
    <cellStyle name="Normal 39 4" xfId="5638" xr:uid="{00000000-0005-0000-0000-0000C2140000}"/>
    <cellStyle name="Normal 4" xfId="1064" xr:uid="{00000000-0005-0000-0000-0000C3140000}"/>
    <cellStyle name="Normal 4 10" xfId="1233" xr:uid="{00000000-0005-0000-0000-0000C4140000}"/>
    <cellStyle name="Normal 4 10 2" xfId="5639" xr:uid="{00000000-0005-0000-0000-0000C5140000}"/>
    <cellStyle name="Normal 4 11" xfId="5640" xr:uid="{00000000-0005-0000-0000-0000C6140000}"/>
    <cellStyle name="Normal 4 12" xfId="2392" xr:uid="{00000000-0005-0000-0000-0000C7140000}"/>
    <cellStyle name="Normal 4 2" xfId="1065" xr:uid="{00000000-0005-0000-0000-0000C8140000}"/>
    <cellStyle name="Normal 4 2 2" xfId="1066" xr:uid="{00000000-0005-0000-0000-0000C9140000}"/>
    <cellStyle name="Normal 4 2 2 2" xfId="1067" xr:uid="{00000000-0005-0000-0000-0000CA140000}"/>
    <cellStyle name="Normal 4 2 2 2 2" xfId="1998" xr:uid="{00000000-0005-0000-0000-0000CB140000}"/>
    <cellStyle name="Normal 4 2 2 2 2 2" xfId="5641" xr:uid="{00000000-0005-0000-0000-0000CC140000}"/>
    <cellStyle name="Normal 4 2 2 2 3" xfId="5642" xr:uid="{00000000-0005-0000-0000-0000CD140000}"/>
    <cellStyle name="Normal 4 2 2 2 4" xfId="3158" xr:uid="{00000000-0005-0000-0000-0000CE140000}"/>
    <cellStyle name="Normal 4 2 2 3" xfId="1424" xr:uid="{00000000-0005-0000-0000-0000CF140000}"/>
    <cellStyle name="Normal 4 2 2 3 2" xfId="5643" xr:uid="{00000000-0005-0000-0000-0000D0140000}"/>
    <cellStyle name="Normal 4 2 2 4" xfId="5644" xr:uid="{00000000-0005-0000-0000-0000D1140000}"/>
    <cellStyle name="Normal 4 2 2 5" xfId="2583" xr:uid="{00000000-0005-0000-0000-0000D2140000}"/>
    <cellStyle name="Normal 4 2 3" xfId="1068" xr:uid="{00000000-0005-0000-0000-0000D3140000}"/>
    <cellStyle name="Normal 4 2 3 2" xfId="1069" xr:uid="{00000000-0005-0000-0000-0000D4140000}"/>
    <cellStyle name="Normal 4 2 3 2 2" xfId="2134" xr:uid="{00000000-0005-0000-0000-0000D5140000}"/>
    <cellStyle name="Normal 4 2 3 2 2 2" xfId="5645" xr:uid="{00000000-0005-0000-0000-0000D6140000}"/>
    <cellStyle name="Normal 4 2 3 2 3" xfId="5646" xr:uid="{00000000-0005-0000-0000-0000D7140000}"/>
    <cellStyle name="Normal 4 2 3 2 4" xfId="3294" xr:uid="{00000000-0005-0000-0000-0000D8140000}"/>
    <cellStyle name="Normal 4 2 3 3" xfId="1560" xr:uid="{00000000-0005-0000-0000-0000D9140000}"/>
    <cellStyle name="Normal 4 2 3 3 2" xfId="5647" xr:uid="{00000000-0005-0000-0000-0000DA140000}"/>
    <cellStyle name="Normal 4 2 3 4" xfId="5648" xr:uid="{00000000-0005-0000-0000-0000DB140000}"/>
    <cellStyle name="Normal 4 2 3 5" xfId="2719" xr:uid="{00000000-0005-0000-0000-0000DC140000}"/>
    <cellStyle name="Normal 4 2 4" xfId="1070" xr:uid="{00000000-0005-0000-0000-0000DD140000}"/>
    <cellStyle name="Normal 4 2 4 2" xfId="1071" xr:uid="{00000000-0005-0000-0000-0000DE140000}"/>
    <cellStyle name="Normal 4 2 4 2 2" xfId="2280" xr:uid="{00000000-0005-0000-0000-0000DF140000}"/>
    <cellStyle name="Normal 4 2 4 2 2 2" xfId="5649" xr:uid="{00000000-0005-0000-0000-0000E0140000}"/>
    <cellStyle name="Normal 4 2 4 2 3" xfId="5650" xr:uid="{00000000-0005-0000-0000-0000E1140000}"/>
    <cellStyle name="Normal 4 2 4 2 4" xfId="3440" xr:uid="{00000000-0005-0000-0000-0000E2140000}"/>
    <cellStyle name="Normal 4 2 4 3" xfId="1706" xr:uid="{00000000-0005-0000-0000-0000E3140000}"/>
    <cellStyle name="Normal 4 2 4 3 2" xfId="5651" xr:uid="{00000000-0005-0000-0000-0000E4140000}"/>
    <cellStyle name="Normal 4 2 4 4" xfId="5652" xr:uid="{00000000-0005-0000-0000-0000E5140000}"/>
    <cellStyle name="Normal 4 2 4 5" xfId="2865" xr:uid="{00000000-0005-0000-0000-0000E6140000}"/>
    <cellStyle name="Normal 4 2 5" xfId="1072" xr:uid="{00000000-0005-0000-0000-0000E7140000}"/>
    <cellStyle name="Normal 4 2 5 2" xfId="1855" xr:uid="{00000000-0005-0000-0000-0000E8140000}"/>
    <cellStyle name="Normal 4 2 5 2 2" xfId="5653" xr:uid="{00000000-0005-0000-0000-0000E9140000}"/>
    <cellStyle name="Normal 4 2 5 3" xfId="5654" xr:uid="{00000000-0005-0000-0000-0000EA140000}"/>
    <cellStyle name="Normal 4 2 5 4" xfId="3015" xr:uid="{00000000-0005-0000-0000-0000EB140000}"/>
    <cellStyle name="Normal 4 2 6" xfId="1280" xr:uid="{00000000-0005-0000-0000-0000EC140000}"/>
    <cellStyle name="Normal 4 2 6 2" xfId="5655" xr:uid="{00000000-0005-0000-0000-0000ED140000}"/>
    <cellStyle name="Normal 4 2 7" xfId="5656" xr:uid="{00000000-0005-0000-0000-0000EE140000}"/>
    <cellStyle name="Normal 4 2 8" xfId="2439" xr:uid="{00000000-0005-0000-0000-0000EF140000}"/>
    <cellStyle name="Normal 4 3" xfId="1073" xr:uid="{00000000-0005-0000-0000-0000F0140000}"/>
    <cellStyle name="Normal 4 3 2" xfId="5657" xr:uid="{00000000-0005-0000-0000-0000F1140000}"/>
    <cellStyle name="Normal 4 4" xfId="1074" xr:uid="{00000000-0005-0000-0000-0000F2140000}"/>
    <cellStyle name="Normal 4 4 2" xfId="1075" xr:uid="{00000000-0005-0000-0000-0000F3140000}"/>
    <cellStyle name="Normal 4 4 2 2" xfId="1951" xr:uid="{00000000-0005-0000-0000-0000F4140000}"/>
    <cellStyle name="Normal 4 4 2 2 2" xfId="5658" xr:uid="{00000000-0005-0000-0000-0000F5140000}"/>
    <cellStyle name="Normal 4 4 2 3" xfId="5659" xr:uid="{00000000-0005-0000-0000-0000F6140000}"/>
    <cellStyle name="Normal 4 4 2 4" xfId="3111" xr:uid="{00000000-0005-0000-0000-0000F7140000}"/>
    <cellStyle name="Normal 4 4 3" xfId="1377" xr:uid="{00000000-0005-0000-0000-0000F8140000}"/>
    <cellStyle name="Normal 4 4 3 2" xfId="5660" xr:uid="{00000000-0005-0000-0000-0000F9140000}"/>
    <cellStyle name="Normal 4 4 4" xfId="5661" xr:uid="{00000000-0005-0000-0000-0000FA140000}"/>
    <cellStyle name="Normal 4 4 5" xfId="2536" xr:uid="{00000000-0005-0000-0000-0000FB140000}"/>
    <cellStyle name="Normal 4 5" xfId="1076" xr:uid="{00000000-0005-0000-0000-0000FC140000}"/>
    <cellStyle name="Normal 4 5 2" xfId="1077" xr:uid="{00000000-0005-0000-0000-0000FD140000}"/>
    <cellStyle name="Normal 4 5 2 2" xfId="2087" xr:uid="{00000000-0005-0000-0000-0000FE140000}"/>
    <cellStyle name="Normal 4 5 2 2 2" xfId="5662" xr:uid="{00000000-0005-0000-0000-0000FF140000}"/>
    <cellStyle name="Normal 4 5 2 3" xfId="5663" xr:uid="{00000000-0005-0000-0000-000000150000}"/>
    <cellStyle name="Normal 4 5 2 4" xfId="3247" xr:uid="{00000000-0005-0000-0000-000001150000}"/>
    <cellStyle name="Normal 4 5 3" xfId="1513" xr:uid="{00000000-0005-0000-0000-000002150000}"/>
    <cellStyle name="Normal 4 5 3 2" xfId="5664" xr:uid="{00000000-0005-0000-0000-000003150000}"/>
    <cellStyle name="Normal 4 5 4" xfId="5665" xr:uid="{00000000-0005-0000-0000-000004150000}"/>
    <cellStyle name="Normal 4 5 5" xfId="2672" xr:uid="{00000000-0005-0000-0000-000005150000}"/>
    <cellStyle name="Normal 4 6" xfId="1078" xr:uid="{00000000-0005-0000-0000-000006150000}"/>
    <cellStyle name="Normal 4 6 2" xfId="1079" xr:uid="{00000000-0005-0000-0000-000007150000}"/>
    <cellStyle name="Normal 4 6 2 2" xfId="2233" xr:uid="{00000000-0005-0000-0000-000008150000}"/>
    <cellStyle name="Normal 4 6 2 2 2" xfId="5666" xr:uid="{00000000-0005-0000-0000-000009150000}"/>
    <cellStyle name="Normal 4 6 2 3" xfId="5667" xr:uid="{00000000-0005-0000-0000-00000A150000}"/>
    <cellStyle name="Normal 4 6 2 4" xfId="3393" xr:uid="{00000000-0005-0000-0000-00000B150000}"/>
    <cellStyle name="Normal 4 6 3" xfId="1659" xr:uid="{00000000-0005-0000-0000-00000C150000}"/>
    <cellStyle name="Normal 4 6 3 2" xfId="5668" xr:uid="{00000000-0005-0000-0000-00000D150000}"/>
    <cellStyle name="Normal 4 6 4" xfId="5669" xr:uid="{00000000-0005-0000-0000-00000E150000}"/>
    <cellStyle name="Normal 4 6 5" xfId="2818" xr:uid="{00000000-0005-0000-0000-00000F150000}"/>
    <cellStyle name="Normal 4 7" xfId="1080" xr:uid="{00000000-0005-0000-0000-000010150000}"/>
    <cellStyle name="Normal 4 7 2" xfId="1808" xr:uid="{00000000-0005-0000-0000-000011150000}"/>
    <cellStyle name="Normal 4 7 2 2" xfId="5670" xr:uid="{00000000-0005-0000-0000-000012150000}"/>
    <cellStyle name="Normal 4 7 3" xfId="5671" xr:uid="{00000000-0005-0000-0000-000013150000}"/>
    <cellStyle name="Normal 4 7 4" xfId="5672" xr:uid="{00000000-0005-0000-0000-000014150000}"/>
    <cellStyle name="Normal 4 7 5" xfId="2968" xr:uid="{00000000-0005-0000-0000-000015150000}"/>
    <cellStyle name="Normal 4 8" xfId="1081" xr:uid="{00000000-0005-0000-0000-000016150000}"/>
    <cellStyle name="Normal 4 8 2" xfId="5673" xr:uid="{00000000-0005-0000-0000-000017150000}"/>
    <cellStyle name="Normal 4 9" xfId="1193" xr:uid="{00000000-0005-0000-0000-000018150000}"/>
    <cellStyle name="Normal 4 9 2" xfId="5674" xr:uid="{00000000-0005-0000-0000-000019150000}"/>
    <cellStyle name="Normal 40" xfId="2344" xr:uid="{00000000-0005-0000-0000-00001A150000}"/>
    <cellStyle name="Normal 40 2" xfId="5675" xr:uid="{00000000-0005-0000-0000-00001B150000}"/>
    <cellStyle name="Normal 41" xfId="1768" xr:uid="{00000000-0005-0000-0000-00001C150000}"/>
    <cellStyle name="Normal 41 2" xfId="5676" xr:uid="{00000000-0005-0000-0000-00001D150000}"/>
    <cellStyle name="Normal 41 3" xfId="5677" xr:uid="{00000000-0005-0000-0000-00001E150000}"/>
    <cellStyle name="Normal 41 4" xfId="2928" xr:uid="{00000000-0005-0000-0000-00001F150000}"/>
    <cellStyle name="Normal 42" xfId="2348" xr:uid="{00000000-0005-0000-0000-000020150000}"/>
    <cellStyle name="Normal 42 2" xfId="5678" xr:uid="{00000000-0005-0000-0000-000021150000}"/>
    <cellStyle name="Normal 42 3" xfId="5679" xr:uid="{00000000-0005-0000-0000-000022150000}"/>
    <cellStyle name="Normal 42 4" xfId="3502" xr:uid="{00000000-0005-0000-0000-000023150000}"/>
    <cellStyle name="Normal 43" xfId="1195" xr:uid="{00000000-0005-0000-0000-000024150000}"/>
    <cellStyle name="Normal 43 2" xfId="5879" xr:uid="{00000000-0005-0000-0000-000025150000}"/>
    <cellStyle name="Normal 43 3" xfId="5874" xr:uid="{00000000-0005-0000-0000-000026150000}"/>
    <cellStyle name="Normal 44" xfId="4008" xr:uid="{00000000-0005-0000-0000-000027150000}"/>
    <cellStyle name="Normal 44 2" xfId="5881" xr:uid="{00000000-0005-0000-0000-000028150000}"/>
    <cellStyle name="Normal 44 3" xfId="5880" xr:uid="{00000000-0005-0000-0000-000029150000}"/>
    <cellStyle name="Normal 45" xfId="5680" xr:uid="{00000000-0005-0000-0000-00002A150000}"/>
    <cellStyle name="Normal 46" xfId="2350" xr:uid="{00000000-0005-0000-0000-00002B150000}"/>
    <cellStyle name="Normal 47" xfId="5870" xr:uid="{00000000-0005-0000-0000-00002C150000}"/>
    <cellStyle name="Normal 48" xfId="5883" xr:uid="{468C34BF-27FD-4505-9825-232ED08DDF03}"/>
    <cellStyle name="Normal 5" xfId="1082" xr:uid="{00000000-0005-0000-0000-00002D150000}"/>
    <cellStyle name="Normal 5 10" xfId="5681" xr:uid="{00000000-0005-0000-0000-00002E150000}"/>
    <cellStyle name="Normal 5 11" xfId="2393" xr:uid="{00000000-0005-0000-0000-00002F150000}"/>
    <cellStyle name="Normal 5 2" xfId="1083" xr:uid="{00000000-0005-0000-0000-000030150000}"/>
    <cellStyle name="Normal 5 2 2" xfId="1084" xr:uid="{00000000-0005-0000-0000-000031150000}"/>
    <cellStyle name="Normal 5 2 2 2" xfId="1085" xr:uid="{00000000-0005-0000-0000-000032150000}"/>
    <cellStyle name="Normal 5 2 2 2 2" xfId="1999" xr:uid="{00000000-0005-0000-0000-000033150000}"/>
    <cellStyle name="Normal 5 2 2 2 2 2" xfId="5682" xr:uid="{00000000-0005-0000-0000-000034150000}"/>
    <cellStyle name="Normal 5 2 2 2 3" xfId="5683" xr:uid="{00000000-0005-0000-0000-000035150000}"/>
    <cellStyle name="Normal 5 2 2 2 4" xfId="3159" xr:uid="{00000000-0005-0000-0000-000036150000}"/>
    <cellStyle name="Normal 5 2 2 3" xfId="1425" xr:uid="{00000000-0005-0000-0000-000037150000}"/>
    <cellStyle name="Normal 5 2 2 3 2" xfId="5684" xr:uid="{00000000-0005-0000-0000-000038150000}"/>
    <cellStyle name="Normal 5 2 2 4" xfId="5685" xr:uid="{00000000-0005-0000-0000-000039150000}"/>
    <cellStyle name="Normal 5 2 2 5" xfId="2584" xr:uid="{00000000-0005-0000-0000-00003A150000}"/>
    <cellStyle name="Normal 5 2 3" xfId="1086" xr:uid="{00000000-0005-0000-0000-00003B150000}"/>
    <cellStyle name="Normal 5 2 3 2" xfId="1087" xr:uid="{00000000-0005-0000-0000-00003C150000}"/>
    <cellStyle name="Normal 5 2 3 2 2" xfId="2135" xr:uid="{00000000-0005-0000-0000-00003D150000}"/>
    <cellStyle name="Normal 5 2 3 2 2 2" xfId="5686" xr:uid="{00000000-0005-0000-0000-00003E150000}"/>
    <cellStyle name="Normal 5 2 3 2 3" xfId="5687" xr:uid="{00000000-0005-0000-0000-00003F150000}"/>
    <cellStyle name="Normal 5 2 3 2 4" xfId="3295" xr:uid="{00000000-0005-0000-0000-000040150000}"/>
    <cellStyle name="Normal 5 2 3 3" xfId="1561" xr:uid="{00000000-0005-0000-0000-000041150000}"/>
    <cellStyle name="Normal 5 2 3 3 2" xfId="5688" xr:uid="{00000000-0005-0000-0000-000042150000}"/>
    <cellStyle name="Normal 5 2 3 4" xfId="5689" xr:uid="{00000000-0005-0000-0000-000043150000}"/>
    <cellStyle name="Normal 5 2 3 5" xfId="2720" xr:uid="{00000000-0005-0000-0000-000044150000}"/>
    <cellStyle name="Normal 5 2 4" xfId="1088" xr:uid="{00000000-0005-0000-0000-000045150000}"/>
    <cellStyle name="Normal 5 2 4 2" xfId="1089" xr:uid="{00000000-0005-0000-0000-000046150000}"/>
    <cellStyle name="Normal 5 2 4 2 2" xfId="2281" xr:uid="{00000000-0005-0000-0000-000047150000}"/>
    <cellStyle name="Normal 5 2 4 2 2 2" xfId="5690" xr:uid="{00000000-0005-0000-0000-000048150000}"/>
    <cellStyle name="Normal 5 2 4 2 3" xfId="5691" xr:uid="{00000000-0005-0000-0000-000049150000}"/>
    <cellStyle name="Normal 5 2 4 2 4" xfId="3441" xr:uid="{00000000-0005-0000-0000-00004A150000}"/>
    <cellStyle name="Normal 5 2 4 3" xfId="1707" xr:uid="{00000000-0005-0000-0000-00004B150000}"/>
    <cellStyle name="Normal 5 2 4 3 2" xfId="5692" xr:uid="{00000000-0005-0000-0000-00004C150000}"/>
    <cellStyle name="Normal 5 2 4 4" xfId="5693" xr:uid="{00000000-0005-0000-0000-00004D150000}"/>
    <cellStyle name="Normal 5 2 4 5" xfId="2866" xr:uid="{00000000-0005-0000-0000-00004E150000}"/>
    <cellStyle name="Normal 5 2 5" xfId="1090" xr:uid="{00000000-0005-0000-0000-00004F150000}"/>
    <cellStyle name="Normal 5 2 5 2" xfId="1856" xr:uid="{00000000-0005-0000-0000-000050150000}"/>
    <cellStyle name="Normal 5 2 5 2 2" xfId="5694" xr:uid="{00000000-0005-0000-0000-000051150000}"/>
    <cellStyle name="Normal 5 2 5 3" xfId="5695" xr:uid="{00000000-0005-0000-0000-000052150000}"/>
    <cellStyle name="Normal 5 2 5 4" xfId="3016" xr:uid="{00000000-0005-0000-0000-000053150000}"/>
    <cellStyle name="Normal 5 2 6" xfId="1281" xr:uid="{00000000-0005-0000-0000-000054150000}"/>
    <cellStyle name="Normal 5 2 6 2" xfId="5696" xr:uid="{00000000-0005-0000-0000-000055150000}"/>
    <cellStyle name="Normal 5 2 7" xfId="5697" xr:uid="{00000000-0005-0000-0000-000056150000}"/>
    <cellStyle name="Normal 5 2 8" xfId="2440" xr:uid="{00000000-0005-0000-0000-000057150000}"/>
    <cellStyle name="Normal 5 3" xfId="1091" xr:uid="{00000000-0005-0000-0000-000058150000}"/>
    <cellStyle name="Normal 5 3 2" xfId="5698" xr:uid="{00000000-0005-0000-0000-000059150000}"/>
    <cellStyle name="Normal 5 4" xfId="1092" xr:uid="{00000000-0005-0000-0000-00005A150000}"/>
    <cellStyle name="Normal 5 4 2" xfId="1093" xr:uid="{00000000-0005-0000-0000-00005B150000}"/>
    <cellStyle name="Normal 5 4 2 2" xfId="1952" xr:uid="{00000000-0005-0000-0000-00005C150000}"/>
    <cellStyle name="Normal 5 4 2 2 2" xfId="5699" xr:uid="{00000000-0005-0000-0000-00005D150000}"/>
    <cellStyle name="Normal 5 4 2 3" xfId="5700" xr:uid="{00000000-0005-0000-0000-00005E150000}"/>
    <cellStyle name="Normal 5 4 2 4" xfId="3112" xr:uid="{00000000-0005-0000-0000-00005F150000}"/>
    <cellStyle name="Normal 5 4 3" xfId="1378" xr:uid="{00000000-0005-0000-0000-000060150000}"/>
    <cellStyle name="Normal 5 4 3 2" xfId="5701" xr:uid="{00000000-0005-0000-0000-000061150000}"/>
    <cellStyle name="Normal 5 4 4" xfId="5702" xr:uid="{00000000-0005-0000-0000-000062150000}"/>
    <cellStyle name="Normal 5 4 5" xfId="2537" xr:uid="{00000000-0005-0000-0000-000063150000}"/>
    <cellStyle name="Normal 5 5" xfId="1094" xr:uid="{00000000-0005-0000-0000-000064150000}"/>
    <cellStyle name="Normal 5 5 2" xfId="1095" xr:uid="{00000000-0005-0000-0000-000065150000}"/>
    <cellStyle name="Normal 5 5 2 2" xfId="2088" xr:uid="{00000000-0005-0000-0000-000066150000}"/>
    <cellStyle name="Normal 5 5 2 2 2" xfId="5703" xr:uid="{00000000-0005-0000-0000-000067150000}"/>
    <cellStyle name="Normal 5 5 2 3" xfId="5704" xr:uid="{00000000-0005-0000-0000-000068150000}"/>
    <cellStyle name="Normal 5 5 2 4" xfId="3248" xr:uid="{00000000-0005-0000-0000-000069150000}"/>
    <cellStyle name="Normal 5 5 3" xfId="1514" xr:uid="{00000000-0005-0000-0000-00006A150000}"/>
    <cellStyle name="Normal 5 5 3 2" xfId="5705" xr:uid="{00000000-0005-0000-0000-00006B150000}"/>
    <cellStyle name="Normal 5 5 4" xfId="5706" xr:uid="{00000000-0005-0000-0000-00006C150000}"/>
    <cellStyle name="Normal 5 5 5" xfId="2673" xr:uid="{00000000-0005-0000-0000-00006D150000}"/>
    <cellStyle name="Normal 5 6" xfId="1096" xr:uid="{00000000-0005-0000-0000-00006E150000}"/>
    <cellStyle name="Normal 5 6 2" xfId="1097" xr:uid="{00000000-0005-0000-0000-00006F150000}"/>
    <cellStyle name="Normal 5 6 2 2" xfId="2234" xr:uid="{00000000-0005-0000-0000-000070150000}"/>
    <cellStyle name="Normal 5 6 2 2 2" xfId="5707" xr:uid="{00000000-0005-0000-0000-000071150000}"/>
    <cellStyle name="Normal 5 6 2 3" xfId="5708" xr:uid="{00000000-0005-0000-0000-000072150000}"/>
    <cellStyle name="Normal 5 6 2 4" xfId="3394" xr:uid="{00000000-0005-0000-0000-000073150000}"/>
    <cellStyle name="Normal 5 6 3" xfId="1660" xr:uid="{00000000-0005-0000-0000-000074150000}"/>
    <cellStyle name="Normal 5 6 3 2" xfId="5709" xr:uid="{00000000-0005-0000-0000-000075150000}"/>
    <cellStyle name="Normal 5 6 4" xfId="5710" xr:uid="{00000000-0005-0000-0000-000076150000}"/>
    <cellStyle name="Normal 5 6 5" xfId="2819" xr:uid="{00000000-0005-0000-0000-000077150000}"/>
    <cellStyle name="Normal 5 7" xfId="1098" xr:uid="{00000000-0005-0000-0000-000078150000}"/>
    <cellStyle name="Normal 5 7 2" xfId="1809" xr:uid="{00000000-0005-0000-0000-000079150000}"/>
    <cellStyle name="Normal 5 7 2 2" xfId="5711" xr:uid="{00000000-0005-0000-0000-00007A150000}"/>
    <cellStyle name="Normal 5 7 3" xfId="5712" xr:uid="{00000000-0005-0000-0000-00007B150000}"/>
    <cellStyle name="Normal 5 7 4" xfId="5713" xr:uid="{00000000-0005-0000-0000-00007C150000}"/>
    <cellStyle name="Normal 5 7 5" xfId="2969" xr:uid="{00000000-0005-0000-0000-00007D150000}"/>
    <cellStyle name="Normal 5 8" xfId="1099" xr:uid="{00000000-0005-0000-0000-00007E150000}"/>
    <cellStyle name="Normal 5 8 2" xfId="1186" xr:uid="{00000000-0005-0000-0000-00007F150000}"/>
    <cellStyle name="Normal 5 8 3" xfId="5714" xr:uid="{00000000-0005-0000-0000-000080150000}"/>
    <cellStyle name="Normal 5 9" xfId="1234" xr:uid="{00000000-0005-0000-0000-000081150000}"/>
    <cellStyle name="Normal 5 9 2" xfId="5715" xr:uid="{00000000-0005-0000-0000-000082150000}"/>
    <cellStyle name="Normal 6" xfId="1100" xr:uid="{00000000-0005-0000-0000-000083150000}"/>
    <cellStyle name="Normal 6 2" xfId="1101" xr:uid="{00000000-0005-0000-0000-000084150000}"/>
    <cellStyle name="Normal 6 2 2" xfId="1102" xr:uid="{00000000-0005-0000-0000-000085150000}"/>
    <cellStyle name="Normal 6 2 2 2" xfId="1103" xr:uid="{00000000-0005-0000-0000-000086150000}"/>
    <cellStyle name="Normal 6 2 2 2 2" xfId="2000" xr:uid="{00000000-0005-0000-0000-000087150000}"/>
    <cellStyle name="Normal 6 2 2 2 2 2" xfId="5716" xr:uid="{00000000-0005-0000-0000-000088150000}"/>
    <cellStyle name="Normal 6 2 2 2 3" xfId="5717" xr:uid="{00000000-0005-0000-0000-000089150000}"/>
    <cellStyle name="Normal 6 2 2 2 4" xfId="3160" xr:uid="{00000000-0005-0000-0000-00008A150000}"/>
    <cellStyle name="Normal 6 2 2 3" xfId="1426" xr:uid="{00000000-0005-0000-0000-00008B150000}"/>
    <cellStyle name="Normal 6 2 2 3 2" xfId="5718" xr:uid="{00000000-0005-0000-0000-00008C150000}"/>
    <cellStyle name="Normal 6 2 2 4" xfId="5719" xr:uid="{00000000-0005-0000-0000-00008D150000}"/>
    <cellStyle name="Normal 6 2 2 5" xfId="2585" xr:uid="{00000000-0005-0000-0000-00008E150000}"/>
    <cellStyle name="Normal 6 2 3" xfId="1104" xr:uid="{00000000-0005-0000-0000-00008F150000}"/>
    <cellStyle name="Normal 6 2 3 2" xfId="1105" xr:uid="{00000000-0005-0000-0000-000090150000}"/>
    <cellStyle name="Normal 6 2 3 2 2" xfId="2136" xr:uid="{00000000-0005-0000-0000-000091150000}"/>
    <cellStyle name="Normal 6 2 3 2 2 2" xfId="5720" xr:uid="{00000000-0005-0000-0000-000092150000}"/>
    <cellStyle name="Normal 6 2 3 2 3" xfId="5721" xr:uid="{00000000-0005-0000-0000-000093150000}"/>
    <cellStyle name="Normal 6 2 3 2 4" xfId="3296" xr:uid="{00000000-0005-0000-0000-000094150000}"/>
    <cellStyle name="Normal 6 2 3 3" xfId="1562" xr:uid="{00000000-0005-0000-0000-000095150000}"/>
    <cellStyle name="Normal 6 2 3 3 2" xfId="5722" xr:uid="{00000000-0005-0000-0000-000096150000}"/>
    <cellStyle name="Normal 6 2 3 4" xfId="5723" xr:uid="{00000000-0005-0000-0000-000097150000}"/>
    <cellStyle name="Normal 6 2 3 5" xfId="2721" xr:uid="{00000000-0005-0000-0000-000098150000}"/>
    <cellStyle name="Normal 6 2 4" xfId="1106" xr:uid="{00000000-0005-0000-0000-000099150000}"/>
    <cellStyle name="Normal 6 2 4 2" xfId="1107" xr:uid="{00000000-0005-0000-0000-00009A150000}"/>
    <cellStyle name="Normal 6 2 4 2 2" xfId="2282" xr:uid="{00000000-0005-0000-0000-00009B150000}"/>
    <cellStyle name="Normal 6 2 4 2 2 2" xfId="5724" xr:uid="{00000000-0005-0000-0000-00009C150000}"/>
    <cellStyle name="Normal 6 2 4 2 3" xfId="5725" xr:uid="{00000000-0005-0000-0000-00009D150000}"/>
    <cellStyle name="Normal 6 2 4 2 4" xfId="3442" xr:uid="{00000000-0005-0000-0000-00009E150000}"/>
    <cellStyle name="Normal 6 2 4 3" xfId="1708" xr:uid="{00000000-0005-0000-0000-00009F150000}"/>
    <cellStyle name="Normal 6 2 4 3 2" xfId="5726" xr:uid="{00000000-0005-0000-0000-0000A0150000}"/>
    <cellStyle name="Normal 6 2 4 4" xfId="5727" xr:uid="{00000000-0005-0000-0000-0000A1150000}"/>
    <cellStyle name="Normal 6 2 4 5" xfId="2867" xr:uid="{00000000-0005-0000-0000-0000A2150000}"/>
    <cellStyle name="Normal 6 2 5" xfId="1108" xr:uid="{00000000-0005-0000-0000-0000A3150000}"/>
    <cellStyle name="Normal 6 2 5 2" xfId="1857" xr:uid="{00000000-0005-0000-0000-0000A4150000}"/>
    <cellStyle name="Normal 6 2 5 2 2" xfId="5728" xr:uid="{00000000-0005-0000-0000-0000A5150000}"/>
    <cellStyle name="Normal 6 2 5 3" xfId="5729" xr:uid="{00000000-0005-0000-0000-0000A6150000}"/>
    <cellStyle name="Normal 6 2 5 4" xfId="3017" xr:uid="{00000000-0005-0000-0000-0000A7150000}"/>
    <cellStyle name="Normal 6 2 6" xfId="1282" xr:uid="{00000000-0005-0000-0000-0000A8150000}"/>
    <cellStyle name="Normal 6 2 6 2" xfId="5730" xr:uid="{00000000-0005-0000-0000-0000A9150000}"/>
    <cellStyle name="Normal 6 2 7" xfId="5731" xr:uid="{00000000-0005-0000-0000-0000AA150000}"/>
    <cellStyle name="Normal 6 2 8" xfId="2441" xr:uid="{00000000-0005-0000-0000-0000AB150000}"/>
    <cellStyle name="Normal 6 3" xfId="1109" xr:uid="{00000000-0005-0000-0000-0000AC150000}"/>
    <cellStyle name="Normal 6 3 2" xfId="1110" xr:uid="{00000000-0005-0000-0000-0000AD150000}"/>
    <cellStyle name="Normal 6 3 2 2" xfId="1953" xr:uid="{00000000-0005-0000-0000-0000AE150000}"/>
    <cellStyle name="Normal 6 3 2 2 2" xfId="5732" xr:uid="{00000000-0005-0000-0000-0000AF150000}"/>
    <cellStyle name="Normal 6 3 2 3" xfId="5733" xr:uid="{00000000-0005-0000-0000-0000B0150000}"/>
    <cellStyle name="Normal 6 3 2 4" xfId="3113" xr:uid="{00000000-0005-0000-0000-0000B1150000}"/>
    <cellStyle name="Normal 6 3 3" xfId="1379" xr:uid="{00000000-0005-0000-0000-0000B2150000}"/>
    <cellStyle name="Normal 6 3 3 2" xfId="5734" xr:uid="{00000000-0005-0000-0000-0000B3150000}"/>
    <cellStyle name="Normal 6 3 4" xfId="5735" xr:uid="{00000000-0005-0000-0000-0000B4150000}"/>
    <cellStyle name="Normal 6 3 5" xfId="2538" xr:uid="{00000000-0005-0000-0000-0000B5150000}"/>
    <cellStyle name="Normal 6 4" xfId="1111" xr:uid="{00000000-0005-0000-0000-0000B6150000}"/>
    <cellStyle name="Normal 6 4 2" xfId="1112" xr:uid="{00000000-0005-0000-0000-0000B7150000}"/>
    <cellStyle name="Normal 6 4 2 2" xfId="2089" xr:uid="{00000000-0005-0000-0000-0000B8150000}"/>
    <cellStyle name="Normal 6 4 2 2 2" xfId="5736" xr:uid="{00000000-0005-0000-0000-0000B9150000}"/>
    <cellStyle name="Normal 6 4 2 3" xfId="5737" xr:uid="{00000000-0005-0000-0000-0000BA150000}"/>
    <cellStyle name="Normal 6 4 2 4" xfId="3249" xr:uid="{00000000-0005-0000-0000-0000BB150000}"/>
    <cellStyle name="Normal 6 4 3" xfId="1515" xr:uid="{00000000-0005-0000-0000-0000BC150000}"/>
    <cellStyle name="Normal 6 4 3 2" xfId="5738" xr:uid="{00000000-0005-0000-0000-0000BD150000}"/>
    <cellStyle name="Normal 6 4 4" xfId="5739" xr:uid="{00000000-0005-0000-0000-0000BE150000}"/>
    <cellStyle name="Normal 6 4 5" xfId="2674" xr:uid="{00000000-0005-0000-0000-0000BF150000}"/>
    <cellStyle name="Normal 6 5" xfId="1113" xr:uid="{00000000-0005-0000-0000-0000C0150000}"/>
    <cellStyle name="Normal 6 5 2" xfId="1114" xr:uid="{00000000-0005-0000-0000-0000C1150000}"/>
    <cellStyle name="Normal 6 5 2 2" xfId="2235" xr:uid="{00000000-0005-0000-0000-0000C2150000}"/>
    <cellStyle name="Normal 6 5 2 2 2" xfId="5740" xr:uid="{00000000-0005-0000-0000-0000C3150000}"/>
    <cellStyle name="Normal 6 5 2 3" xfId="5741" xr:uid="{00000000-0005-0000-0000-0000C4150000}"/>
    <cellStyle name="Normal 6 5 2 4" xfId="3395" xr:uid="{00000000-0005-0000-0000-0000C5150000}"/>
    <cellStyle name="Normal 6 5 3" xfId="1661" xr:uid="{00000000-0005-0000-0000-0000C6150000}"/>
    <cellStyle name="Normal 6 5 3 2" xfId="5742" xr:uid="{00000000-0005-0000-0000-0000C7150000}"/>
    <cellStyle name="Normal 6 5 4" xfId="5743" xr:uid="{00000000-0005-0000-0000-0000C8150000}"/>
    <cellStyle name="Normal 6 5 5" xfId="2820" xr:uid="{00000000-0005-0000-0000-0000C9150000}"/>
    <cellStyle name="Normal 6 6" xfId="1115" xr:uid="{00000000-0005-0000-0000-0000CA150000}"/>
    <cellStyle name="Normal 6 6 2" xfId="1810" xr:uid="{00000000-0005-0000-0000-0000CB150000}"/>
    <cellStyle name="Normal 6 6 2 2" xfId="5744" xr:uid="{00000000-0005-0000-0000-0000CC150000}"/>
    <cellStyle name="Normal 6 6 3" xfId="5745" xr:uid="{00000000-0005-0000-0000-0000CD150000}"/>
    <cellStyle name="Normal 6 6 4" xfId="2970" xr:uid="{00000000-0005-0000-0000-0000CE150000}"/>
    <cellStyle name="Normal 6 7" xfId="1235" xr:uid="{00000000-0005-0000-0000-0000CF150000}"/>
    <cellStyle name="Normal 6 7 2" xfId="5746" xr:uid="{00000000-0005-0000-0000-0000D0150000}"/>
    <cellStyle name="Normal 6 8" xfId="5747" xr:uid="{00000000-0005-0000-0000-0000D1150000}"/>
    <cellStyle name="Normal 6 9" xfId="2394" xr:uid="{00000000-0005-0000-0000-0000D2150000}"/>
    <cellStyle name="Normal 7" xfId="1116" xr:uid="{00000000-0005-0000-0000-0000D3150000}"/>
    <cellStyle name="Normal 7 2" xfId="1117" xr:uid="{00000000-0005-0000-0000-0000D4150000}"/>
    <cellStyle name="Normal 7 2 2" xfId="1118" xr:uid="{00000000-0005-0000-0000-0000D5150000}"/>
    <cellStyle name="Normal 7 2 2 2" xfId="1954" xr:uid="{00000000-0005-0000-0000-0000D6150000}"/>
    <cellStyle name="Normal 7 2 2 2 2" xfId="5748" xr:uid="{00000000-0005-0000-0000-0000D7150000}"/>
    <cellStyle name="Normal 7 2 2 3" xfId="5749" xr:uid="{00000000-0005-0000-0000-0000D8150000}"/>
    <cellStyle name="Normal 7 2 2 4" xfId="3114" xr:uid="{00000000-0005-0000-0000-0000D9150000}"/>
    <cellStyle name="Normal 7 2 3" xfId="1380" xr:uid="{00000000-0005-0000-0000-0000DA150000}"/>
    <cellStyle name="Normal 7 2 3 2" xfId="5750" xr:uid="{00000000-0005-0000-0000-0000DB150000}"/>
    <cellStyle name="Normal 7 2 4" xfId="5751" xr:uid="{00000000-0005-0000-0000-0000DC150000}"/>
    <cellStyle name="Normal 7 2 5" xfId="2539" xr:uid="{00000000-0005-0000-0000-0000DD150000}"/>
    <cellStyle name="Normal 7 3" xfId="1119" xr:uid="{00000000-0005-0000-0000-0000DE150000}"/>
    <cellStyle name="Normal 7 3 2" xfId="1120" xr:uid="{00000000-0005-0000-0000-0000DF150000}"/>
    <cellStyle name="Normal 7 3 2 2" xfId="2090" xr:uid="{00000000-0005-0000-0000-0000E0150000}"/>
    <cellStyle name="Normal 7 3 2 2 2" xfId="5752" xr:uid="{00000000-0005-0000-0000-0000E1150000}"/>
    <cellStyle name="Normal 7 3 2 3" xfId="5753" xr:uid="{00000000-0005-0000-0000-0000E2150000}"/>
    <cellStyle name="Normal 7 3 2 4" xfId="3250" xr:uid="{00000000-0005-0000-0000-0000E3150000}"/>
    <cellStyle name="Normal 7 3 3" xfId="1516" xr:uid="{00000000-0005-0000-0000-0000E4150000}"/>
    <cellStyle name="Normal 7 3 3 2" xfId="5754" xr:uid="{00000000-0005-0000-0000-0000E5150000}"/>
    <cellStyle name="Normal 7 3 4" xfId="5755" xr:uid="{00000000-0005-0000-0000-0000E6150000}"/>
    <cellStyle name="Normal 7 3 5" xfId="2675" xr:uid="{00000000-0005-0000-0000-0000E7150000}"/>
    <cellStyle name="Normal 7 4" xfId="1121" xr:uid="{00000000-0005-0000-0000-0000E8150000}"/>
    <cellStyle name="Normal 7 4 2" xfId="1122" xr:uid="{00000000-0005-0000-0000-0000E9150000}"/>
    <cellStyle name="Normal 7 4 2 2" xfId="2236" xr:uid="{00000000-0005-0000-0000-0000EA150000}"/>
    <cellStyle name="Normal 7 4 2 2 2" xfId="5756" xr:uid="{00000000-0005-0000-0000-0000EB150000}"/>
    <cellStyle name="Normal 7 4 2 3" xfId="5757" xr:uid="{00000000-0005-0000-0000-0000EC150000}"/>
    <cellStyle name="Normal 7 4 2 4" xfId="3396" xr:uid="{00000000-0005-0000-0000-0000ED150000}"/>
    <cellStyle name="Normal 7 4 3" xfId="1662" xr:uid="{00000000-0005-0000-0000-0000EE150000}"/>
    <cellStyle name="Normal 7 4 3 2" xfId="5758" xr:uid="{00000000-0005-0000-0000-0000EF150000}"/>
    <cellStyle name="Normal 7 4 4" xfId="5759" xr:uid="{00000000-0005-0000-0000-0000F0150000}"/>
    <cellStyle name="Normal 7 4 5" xfId="2821" xr:uid="{00000000-0005-0000-0000-0000F1150000}"/>
    <cellStyle name="Normal 7 5" xfId="1123" xr:uid="{00000000-0005-0000-0000-0000F2150000}"/>
    <cellStyle name="Normal 7 5 2" xfId="1811" xr:uid="{00000000-0005-0000-0000-0000F3150000}"/>
    <cellStyle name="Normal 7 5 2 2" xfId="5760" xr:uid="{00000000-0005-0000-0000-0000F4150000}"/>
    <cellStyle name="Normal 7 5 3" xfId="5761" xr:uid="{00000000-0005-0000-0000-0000F5150000}"/>
    <cellStyle name="Normal 7 5 4" xfId="2971" xr:uid="{00000000-0005-0000-0000-0000F6150000}"/>
    <cellStyle name="Normal 7 6" xfId="1236" xr:uid="{00000000-0005-0000-0000-0000F7150000}"/>
    <cellStyle name="Normal 7 6 2" xfId="5762" xr:uid="{00000000-0005-0000-0000-0000F8150000}"/>
    <cellStyle name="Normal 7 7" xfId="5763" xr:uid="{00000000-0005-0000-0000-0000F9150000}"/>
    <cellStyle name="Normal 7 8" xfId="2395" xr:uid="{00000000-0005-0000-0000-0000FA150000}"/>
    <cellStyle name="Normal 8" xfId="1124" xr:uid="{00000000-0005-0000-0000-0000FB150000}"/>
    <cellStyle name="Normal 8 2" xfId="1125" xr:uid="{00000000-0005-0000-0000-0000FC150000}"/>
    <cellStyle name="Normal 8 2 2" xfId="1126" xr:uid="{00000000-0005-0000-0000-0000FD150000}"/>
    <cellStyle name="Normal 8 2 2 2" xfId="1955" xr:uid="{00000000-0005-0000-0000-0000FE150000}"/>
    <cellStyle name="Normal 8 2 2 2 2" xfId="5764" xr:uid="{00000000-0005-0000-0000-0000FF150000}"/>
    <cellStyle name="Normal 8 2 2 3" xfId="5765" xr:uid="{00000000-0005-0000-0000-000000160000}"/>
    <cellStyle name="Normal 8 2 2 4" xfId="3115" xr:uid="{00000000-0005-0000-0000-000001160000}"/>
    <cellStyle name="Normal 8 2 3" xfId="1381" xr:uid="{00000000-0005-0000-0000-000002160000}"/>
    <cellStyle name="Normal 8 2 3 2" xfId="5766" xr:uid="{00000000-0005-0000-0000-000003160000}"/>
    <cellStyle name="Normal 8 2 4" xfId="5767" xr:uid="{00000000-0005-0000-0000-000004160000}"/>
    <cellStyle name="Normal 8 2 5" xfId="2540" xr:uid="{00000000-0005-0000-0000-000005160000}"/>
    <cellStyle name="Normal 8 3" xfId="1127" xr:uid="{00000000-0005-0000-0000-000006160000}"/>
    <cellStyle name="Normal 8 3 2" xfId="1128" xr:uid="{00000000-0005-0000-0000-000007160000}"/>
    <cellStyle name="Normal 8 3 2 2" xfId="2091" xr:uid="{00000000-0005-0000-0000-000008160000}"/>
    <cellStyle name="Normal 8 3 2 2 2" xfId="5768" xr:uid="{00000000-0005-0000-0000-000009160000}"/>
    <cellStyle name="Normal 8 3 2 3" xfId="5769" xr:uid="{00000000-0005-0000-0000-00000A160000}"/>
    <cellStyle name="Normal 8 3 2 4" xfId="3251" xr:uid="{00000000-0005-0000-0000-00000B160000}"/>
    <cellStyle name="Normal 8 3 3" xfId="1517" xr:uid="{00000000-0005-0000-0000-00000C160000}"/>
    <cellStyle name="Normal 8 3 3 2" xfId="5770" xr:uid="{00000000-0005-0000-0000-00000D160000}"/>
    <cellStyle name="Normal 8 3 4" xfId="5771" xr:uid="{00000000-0005-0000-0000-00000E160000}"/>
    <cellStyle name="Normal 8 3 5" xfId="2676" xr:uid="{00000000-0005-0000-0000-00000F160000}"/>
    <cellStyle name="Normal 8 4" xfId="1129" xr:uid="{00000000-0005-0000-0000-000010160000}"/>
    <cellStyle name="Normal 8 4 2" xfId="1130" xr:uid="{00000000-0005-0000-0000-000011160000}"/>
    <cellStyle name="Normal 8 4 2 2" xfId="2237" xr:uid="{00000000-0005-0000-0000-000012160000}"/>
    <cellStyle name="Normal 8 4 2 2 2" xfId="5772" xr:uid="{00000000-0005-0000-0000-000013160000}"/>
    <cellStyle name="Normal 8 4 2 3" xfId="5773" xr:uid="{00000000-0005-0000-0000-000014160000}"/>
    <cellStyle name="Normal 8 4 2 4" xfId="3397" xr:uid="{00000000-0005-0000-0000-000015160000}"/>
    <cellStyle name="Normal 8 4 3" xfId="1663" xr:uid="{00000000-0005-0000-0000-000016160000}"/>
    <cellStyle name="Normal 8 4 3 2" xfId="5774" xr:uid="{00000000-0005-0000-0000-000017160000}"/>
    <cellStyle name="Normal 8 4 4" xfId="5775" xr:uid="{00000000-0005-0000-0000-000018160000}"/>
    <cellStyle name="Normal 8 4 5" xfId="2822" xr:uid="{00000000-0005-0000-0000-000019160000}"/>
    <cellStyle name="Normal 8 5" xfId="1131" xr:uid="{00000000-0005-0000-0000-00001A160000}"/>
    <cellStyle name="Normal 8 5 2" xfId="1812" xr:uid="{00000000-0005-0000-0000-00001B160000}"/>
    <cellStyle name="Normal 8 5 2 2" xfId="5776" xr:uid="{00000000-0005-0000-0000-00001C160000}"/>
    <cellStyle name="Normal 8 5 3" xfId="5777" xr:uid="{00000000-0005-0000-0000-00001D160000}"/>
    <cellStyle name="Normal 8 5 4" xfId="2972" xr:uid="{00000000-0005-0000-0000-00001E160000}"/>
    <cellStyle name="Normal 8 6" xfId="1237" xr:uid="{00000000-0005-0000-0000-00001F160000}"/>
    <cellStyle name="Normal 8 6 2" xfId="5778" xr:uid="{00000000-0005-0000-0000-000020160000}"/>
    <cellStyle name="Normal 8 7" xfId="5779" xr:uid="{00000000-0005-0000-0000-000021160000}"/>
    <cellStyle name="Normal 8 8" xfId="2396" xr:uid="{00000000-0005-0000-0000-000022160000}"/>
    <cellStyle name="Normal 9" xfId="1132" xr:uid="{00000000-0005-0000-0000-000023160000}"/>
    <cellStyle name="Normal 9 10" xfId="2355" xr:uid="{00000000-0005-0000-0000-000024160000}"/>
    <cellStyle name="Normal 9 2" xfId="1133" xr:uid="{00000000-0005-0000-0000-000025160000}"/>
    <cellStyle name="Normal 9 2 2" xfId="1134" xr:uid="{00000000-0005-0000-0000-000026160000}"/>
    <cellStyle name="Normal 9 2 2 2" xfId="1135" xr:uid="{00000000-0005-0000-0000-000027160000}"/>
    <cellStyle name="Normal 9 2 2 2 2" xfId="1961" xr:uid="{00000000-0005-0000-0000-000028160000}"/>
    <cellStyle name="Normal 9 2 2 2 2 2" xfId="5780" xr:uid="{00000000-0005-0000-0000-000029160000}"/>
    <cellStyle name="Normal 9 2 2 2 3" xfId="5781" xr:uid="{00000000-0005-0000-0000-00002A160000}"/>
    <cellStyle name="Normal 9 2 2 2 4" xfId="3121" xr:uid="{00000000-0005-0000-0000-00002B160000}"/>
    <cellStyle name="Normal 9 2 2 3" xfId="1387" xr:uid="{00000000-0005-0000-0000-00002C160000}"/>
    <cellStyle name="Normal 9 2 2 3 2" xfId="5782" xr:uid="{00000000-0005-0000-0000-00002D160000}"/>
    <cellStyle name="Normal 9 2 2 4" xfId="5783" xr:uid="{00000000-0005-0000-0000-00002E160000}"/>
    <cellStyle name="Normal 9 2 2 5" xfId="2546" xr:uid="{00000000-0005-0000-0000-00002F160000}"/>
    <cellStyle name="Normal 9 2 3" xfId="1136" xr:uid="{00000000-0005-0000-0000-000030160000}"/>
    <cellStyle name="Normal 9 2 3 2" xfId="1137" xr:uid="{00000000-0005-0000-0000-000031160000}"/>
    <cellStyle name="Normal 9 2 3 2 2" xfId="2097" xr:uid="{00000000-0005-0000-0000-000032160000}"/>
    <cellStyle name="Normal 9 2 3 2 2 2" xfId="5784" xr:uid="{00000000-0005-0000-0000-000033160000}"/>
    <cellStyle name="Normal 9 2 3 2 3" xfId="5785" xr:uid="{00000000-0005-0000-0000-000034160000}"/>
    <cellStyle name="Normal 9 2 3 2 4" xfId="3257" xr:uid="{00000000-0005-0000-0000-000035160000}"/>
    <cellStyle name="Normal 9 2 3 3" xfId="1523" xr:uid="{00000000-0005-0000-0000-000036160000}"/>
    <cellStyle name="Normal 9 2 3 3 2" xfId="5786" xr:uid="{00000000-0005-0000-0000-000037160000}"/>
    <cellStyle name="Normal 9 2 3 4" xfId="5787" xr:uid="{00000000-0005-0000-0000-000038160000}"/>
    <cellStyle name="Normal 9 2 3 5" xfId="2682" xr:uid="{00000000-0005-0000-0000-000039160000}"/>
    <cellStyle name="Normal 9 2 4" xfId="1138" xr:uid="{00000000-0005-0000-0000-00003A160000}"/>
    <cellStyle name="Normal 9 2 4 2" xfId="1139" xr:uid="{00000000-0005-0000-0000-00003B160000}"/>
    <cellStyle name="Normal 9 2 4 2 2" xfId="2243" xr:uid="{00000000-0005-0000-0000-00003C160000}"/>
    <cellStyle name="Normal 9 2 4 2 2 2" xfId="5788" xr:uid="{00000000-0005-0000-0000-00003D160000}"/>
    <cellStyle name="Normal 9 2 4 2 3" xfId="5789" xr:uid="{00000000-0005-0000-0000-00003E160000}"/>
    <cellStyle name="Normal 9 2 4 2 4" xfId="3403" xr:uid="{00000000-0005-0000-0000-00003F160000}"/>
    <cellStyle name="Normal 9 2 4 3" xfId="1669" xr:uid="{00000000-0005-0000-0000-000040160000}"/>
    <cellStyle name="Normal 9 2 4 3 2" xfId="5790" xr:uid="{00000000-0005-0000-0000-000041160000}"/>
    <cellStyle name="Normal 9 2 4 4" xfId="5791" xr:uid="{00000000-0005-0000-0000-000042160000}"/>
    <cellStyle name="Normal 9 2 4 5" xfId="2828" xr:uid="{00000000-0005-0000-0000-000043160000}"/>
    <cellStyle name="Normal 9 2 5" xfId="1140" xr:uid="{00000000-0005-0000-0000-000044160000}"/>
    <cellStyle name="Normal 9 2 5 2" xfId="1818" xr:uid="{00000000-0005-0000-0000-000045160000}"/>
    <cellStyle name="Normal 9 2 5 2 2" xfId="5792" xr:uid="{00000000-0005-0000-0000-000046160000}"/>
    <cellStyle name="Normal 9 2 5 3" xfId="5793" xr:uid="{00000000-0005-0000-0000-000047160000}"/>
    <cellStyle name="Normal 9 2 5 4" xfId="2978" xr:uid="{00000000-0005-0000-0000-000048160000}"/>
    <cellStyle name="Normal 9 2 6" xfId="1243" xr:uid="{00000000-0005-0000-0000-000049160000}"/>
    <cellStyle name="Normal 9 2 6 2" xfId="5794" xr:uid="{00000000-0005-0000-0000-00004A160000}"/>
    <cellStyle name="Normal 9 2 7" xfId="5795" xr:uid="{00000000-0005-0000-0000-00004B160000}"/>
    <cellStyle name="Normal 9 2 8" xfId="2402" xr:uid="{00000000-0005-0000-0000-00004C160000}"/>
    <cellStyle name="Normal 9 3" xfId="1141" xr:uid="{00000000-0005-0000-0000-00004D160000}"/>
    <cellStyle name="Normal 9 3 2" xfId="1142" xr:uid="{00000000-0005-0000-0000-00004E160000}"/>
    <cellStyle name="Normal 9 3 2 2" xfId="1143" xr:uid="{00000000-0005-0000-0000-00004F160000}"/>
    <cellStyle name="Normal 9 3 2 2 2" xfId="2040" xr:uid="{00000000-0005-0000-0000-000050160000}"/>
    <cellStyle name="Normal 9 3 2 2 2 2" xfId="5796" xr:uid="{00000000-0005-0000-0000-000051160000}"/>
    <cellStyle name="Normal 9 3 2 2 3" xfId="5797" xr:uid="{00000000-0005-0000-0000-000052160000}"/>
    <cellStyle name="Normal 9 3 2 2 4" xfId="3200" xr:uid="{00000000-0005-0000-0000-000053160000}"/>
    <cellStyle name="Normal 9 3 2 3" xfId="1466" xr:uid="{00000000-0005-0000-0000-000054160000}"/>
    <cellStyle name="Normal 9 3 2 3 2" xfId="5798" xr:uid="{00000000-0005-0000-0000-000055160000}"/>
    <cellStyle name="Normal 9 3 2 4" xfId="5799" xr:uid="{00000000-0005-0000-0000-000056160000}"/>
    <cellStyle name="Normal 9 3 2 5" xfId="2625" xr:uid="{00000000-0005-0000-0000-000057160000}"/>
    <cellStyle name="Normal 9 3 3" xfId="1144" xr:uid="{00000000-0005-0000-0000-000058160000}"/>
    <cellStyle name="Normal 9 3 3 2" xfId="1145" xr:uid="{00000000-0005-0000-0000-000059160000}"/>
    <cellStyle name="Normal 9 3 3 2 2" xfId="2176" xr:uid="{00000000-0005-0000-0000-00005A160000}"/>
    <cellStyle name="Normal 9 3 3 2 2 2" xfId="5800" xr:uid="{00000000-0005-0000-0000-00005B160000}"/>
    <cellStyle name="Normal 9 3 3 2 3" xfId="5801" xr:uid="{00000000-0005-0000-0000-00005C160000}"/>
    <cellStyle name="Normal 9 3 3 2 4" xfId="3336" xr:uid="{00000000-0005-0000-0000-00005D160000}"/>
    <cellStyle name="Normal 9 3 3 3" xfId="1602" xr:uid="{00000000-0005-0000-0000-00005E160000}"/>
    <cellStyle name="Normal 9 3 3 3 2" xfId="5802" xr:uid="{00000000-0005-0000-0000-00005F160000}"/>
    <cellStyle name="Normal 9 3 3 4" xfId="5803" xr:uid="{00000000-0005-0000-0000-000060160000}"/>
    <cellStyle name="Normal 9 3 3 5" xfId="2761" xr:uid="{00000000-0005-0000-0000-000061160000}"/>
    <cellStyle name="Normal 9 3 4" xfId="1146" xr:uid="{00000000-0005-0000-0000-000062160000}"/>
    <cellStyle name="Normal 9 3 4 2" xfId="1147" xr:uid="{00000000-0005-0000-0000-000063160000}"/>
    <cellStyle name="Normal 9 3 4 2 2" xfId="2322" xr:uid="{00000000-0005-0000-0000-000064160000}"/>
    <cellStyle name="Normal 9 3 4 2 2 2" xfId="5804" xr:uid="{00000000-0005-0000-0000-000065160000}"/>
    <cellStyle name="Normal 9 3 4 2 3" xfId="5805" xr:uid="{00000000-0005-0000-0000-000066160000}"/>
    <cellStyle name="Normal 9 3 4 2 4" xfId="3482" xr:uid="{00000000-0005-0000-0000-000067160000}"/>
    <cellStyle name="Normal 9 3 4 3" xfId="1748" xr:uid="{00000000-0005-0000-0000-000068160000}"/>
    <cellStyle name="Normal 9 3 4 3 2" xfId="5806" xr:uid="{00000000-0005-0000-0000-000069160000}"/>
    <cellStyle name="Normal 9 3 4 4" xfId="5807" xr:uid="{00000000-0005-0000-0000-00006A160000}"/>
    <cellStyle name="Normal 9 3 4 5" xfId="2907" xr:uid="{00000000-0005-0000-0000-00006B160000}"/>
    <cellStyle name="Normal 9 3 5" xfId="1148" xr:uid="{00000000-0005-0000-0000-00006C160000}"/>
    <cellStyle name="Normal 9 3 5 2" xfId="1897" xr:uid="{00000000-0005-0000-0000-00006D160000}"/>
    <cellStyle name="Normal 9 3 5 2 2" xfId="5808" xr:uid="{00000000-0005-0000-0000-00006E160000}"/>
    <cellStyle name="Normal 9 3 5 3" xfId="5809" xr:uid="{00000000-0005-0000-0000-00006F160000}"/>
    <cellStyle name="Normal 9 3 5 4" xfId="3057" xr:uid="{00000000-0005-0000-0000-000070160000}"/>
    <cellStyle name="Normal 9 3 6" xfId="1322" xr:uid="{00000000-0005-0000-0000-000071160000}"/>
    <cellStyle name="Normal 9 3 6 2" xfId="5810" xr:uid="{00000000-0005-0000-0000-000072160000}"/>
    <cellStyle name="Normal 9 3 7" xfId="5811" xr:uid="{00000000-0005-0000-0000-000073160000}"/>
    <cellStyle name="Normal 9 3 8" xfId="2481" xr:uid="{00000000-0005-0000-0000-000074160000}"/>
    <cellStyle name="Normal 9 4" xfId="1149" xr:uid="{00000000-0005-0000-0000-000075160000}"/>
    <cellStyle name="Normal 9 4 2" xfId="1150" xr:uid="{00000000-0005-0000-0000-000076160000}"/>
    <cellStyle name="Normal 9 4 2 2" xfId="1915" xr:uid="{00000000-0005-0000-0000-000077160000}"/>
    <cellStyle name="Normal 9 4 2 2 2" xfId="5812" xr:uid="{00000000-0005-0000-0000-000078160000}"/>
    <cellStyle name="Normal 9 4 2 3" xfId="5813" xr:uid="{00000000-0005-0000-0000-000079160000}"/>
    <cellStyle name="Normal 9 4 2 4" xfId="3075" xr:uid="{00000000-0005-0000-0000-00007A160000}"/>
    <cellStyle name="Normal 9 4 3" xfId="1340" xr:uid="{00000000-0005-0000-0000-00007B160000}"/>
    <cellStyle name="Normal 9 4 3 2" xfId="5814" xr:uid="{00000000-0005-0000-0000-00007C160000}"/>
    <cellStyle name="Normal 9 4 4" xfId="5815" xr:uid="{00000000-0005-0000-0000-00007D160000}"/>
    <cellStyle name="Normal 9 4 5" xfId="2499" xr:uid="{00000000-0005-0000-0000-00007E160000}"/>
    <cellStyle name="Normal 9 5" xfId="1151" xr:uid="{00000000-0005-0000-0000-00007F160000}"/>
    <cellStyle name="Normal 9 5 2" xfId="1152" xr:uid="{00000000-0005-0000-0000-000080160000}"/>
    <cellStyle name="Normal 9 5 2 2" xfId="2050" xr:uid="{00000000-0005-0000-0000-000081160000}"/>
    <cellStyle name="Normal 9 5 2 2 2" xfId="5816" xr:uid="{00000000-0005-0000-0000-000082160000}"/>
    <cellStyle name="Normal 9 5 2 3" xfId="5817" xr:uid="{00000000-0005-0000-0000-000083160000}"/>
    <cellStyle name="Normal 9 5 2 4" xfId="3210" xr:uid="{00000000-0005-0000-0000-000084160000}"/>
    <cellStyle name="Normal 9 5 3" xfId="1476" xr:uid="{00000000-0005-0000-0000-000085160000}"/>
    <cellStyle name="Normal 9 5 3 2" xfId="5818" xr:uid="{00000000-0005-0000-0000-000086160000}"/>
    <cellStyle name="Normal 9 5 4" xfId="5819" xr:uid="{00000000-0005-0000-0000-000087160000}"/>
    <cellStyle name="Normal 9 5 5" xfId="2635" xr:uid="{00000000-0005-0000-0000-000088160000}"/>
    <cellStyle name="Normal 9 6" xfId="1153" xr:uid="{00000000-0005-0000-0000-000089160000}"/>
    <cellStyle name="Normal 9 6 2" xfId="1154" xr:uid="{00000000-0005-0000-0000-00008A160000}"/>
    <cellStyle name="Normal 9 6 2 2" xfId="2196" xr:uid="{00000000-0005-0000-0000-00008B160000}"/>
    <cellStyle name="Normal 9 6 2 2 2" xfId="5820" xr:uid="{00000000-0005-0000-0000-00008C160000}"/>
    <cellStyle name="Normal 9 6 2 3" xfId="5821" xr:uid="{00000000-0005-0000-0000-00008D160000}"/>
    <cellStyle name="Normal 9 6 2 4" xfId="5822" xr:uid="{00000000-0005-0000-0000-00008E160000}"/>
    <cellStyle name="Normal 9 6 2 5" xfId="3356" xr:uid="{00000000-0005-0000-0000-00008F160000}"/>
    <cellStyle name="Normal 9 6 3" xfId="1155" xr:uid="{00000000-0005-0000-0000-000090160000}"/>
    <cellStyle name="Normal 9 6 3 2" xfId="5823" xr:uid="{00000000-0005-0000-0000-000091160000}"/>
    <cellStyle name="Normal 9 6 4" xfId="1622" xr:uid="{00000000-0005-0000-0000-000092160000}"/>
    <cellStyle name="Normal 9 6 4 2" xfId="5824" xr:uid="{00000000-0005-0000-0000-000093160000}"/>
    <cellStyle name="Normal 9 6 5" xfId="5825" xr:uid="{00000000-0005-0000-0000-000094160000}"/>
    <cellStyle name="Normal 9 6 6" xfId="2781" xr:uid="{00000000-0005-0000-0000-000095160000}"/>
    <cellStyle name="Normal 9 7" xfId="1156" xr:uid="{00000000-0005-0000-0000-000096160000}"/>
    <cellStyle name="Normal 9 7 2" xfId="1771" xr:uid="{00000000-0005-0000-0000-000097160000}"/>
    <cellStyle name="Normal 9 7 2 2" xfId="5826" xr:uid="{00000000-0005-0000-0000-000098160000}"/>
    <cellStyle name="Normal 9 7 3" xfId="5827" xr:uid="{00000000-0005-0000-0000-000099160000}"/>
    <cellStyle name="Normal 9 7 4" xfId="2931" xr:uid="{00000000-0005-0000-0000-00009A160000}"/>
    <cellStyle name="Normal 9 8" xfId="1196" xr:uid="{00000000-0005-0000-0000-00009B160000}"/>
    <cellStyle name="Normal 9 8 2" xfId="5828" xr:uid="{00000000-0005-0000-0000-00009C160000}"/>
    <cellStyle name="Normal 9 9" xfId="5829" xr:uid="{00000000-0005-0000-0000-00009D160000}"/>
    <cellStyle name="Note 2" xfId="1187" xr:uid="{00000000-0005-0000-0000-00009E160000}"/>
    <cellStyle name="Note 2 2" xfId="5830" xr:uid="{00000000-0005-0000-0000-00009F160000}"/>
    <cellStyle name="Note 3" xfId="1188" xr:uid="{00000000-0005-0000-0000-0000A0160000}"/>
    <cellStyle name="Note 3 2" xfId="5831" xr:uid="{00000000-0005-0000-0000-0000A1160000}"/>
    <cellStyle name="Note 4" xfId="5832" xr:uid="{00000000-0005-0000-0000-0000A2160000}"/>
    <cellStyle name="Percent" xfId="2" builtinId="5"/>
    <cellStyle name="Percent 10" xfId="1770" xr:uid="{00000000-0005-0000-0000-0000A4160000}"/>
    <cellStyle name="Percent 10 2" xfId="5833" xr:uid="{00000000-0005-0000-0000-0000A5160000}"/>
    <cellStyle name="Percent 10 3" xfId="5834" xr:uid="{00000000-0005-0000-0000-0000A6160000}"/>
    <cellStyle name="Percent 10 4" xfId="2930" xr:uid="{00000000-0005-0000-0000-0000A7160000}"/>
    <cellStyle name="Percent 11" xfId="2354" xr:uid="{00000000-0005-0000-0000-0000A8160000}"/>
    <cellStyle name="Percent 12" xfId="5835" xr:uid="{00000000-0005-0000-0000-0000A9160000}"/>
    <cellStyle name="Percent 13" xfId="5836" xr:uid="{00000000-0005-0000-0000-0000AA160000}"/>
    <cellStyle name="Percent 14" xfId="2352" xr:uid="{00000000-0005-0000-0000-0000AB160000}"/>
    <cellStyle name="Percent 15" xfId="5886" xr:uid="{B19A188F-75A7-4B47-B252-8145BAC879A4}"/>
    <cellStyle name="Percent 2" xfId="1157" xr:uid="{00000000-0005-0000-0000-0000AC160000}"/>
    <cellStyle name="Percent 2 2" xfId="5837" xr:uid="{00000000-0005-0000-0000-0000AD160000}"/>
    <cellStyle name="Percent 3" xfId="1158" xr:uid="{00000000-0005-0000-0000-0000AE160000}"/>
    <cellStyle name="Percent 3 2" xfId="1159" xr:uid="{00000000-0005-0000-0000-0000AF160000}"/>
    <cellStyle name="Percent 3 2 2" xfId="1160" xr:uid="{00000000-0005-0000-0000-0000B0160000}"/>
    <cellStyle name="Percent 3 2 2 2" xfId="2003" xr:uid="{00000000-0005-0000-0000-0000B1160000}"/>
    <cellStyle name="Percent 3 2 2 2 2" xfId="5838" xr:uid="{00000000-0005-0000-0000-0000B2160000}"/>
    <cellStyle name="Percent 3 2 2 3" xfId="5839" xr:uid="{00000000-0005-0000-0000-0000B3160000}"/>
    <cellStyle name="Percent 3 2 2 4" xfId="3163" xr:uid="{00000000-0005-0000-0000-0000B4160000}"/>
    <cellStyle name="Percent 3 2 3" xfId="1429" xr:uid="{00000000-0005-0000-0000-0000B5160000}"/>
    <cellStyle name="Percent 3 2 3 2" xfId="5840" xr:uid="{00000000-0005-0000-0000-0000B6160000}"/>
    <cellStyle name="Percent 3 2 4" xfId="5841" xr:uid="{00000000-0005-0000-0000-0000B7160000}"/>
    <cellStyle name="Percent 3 2 5" xfId="2588" xr:uid="{00000000-0005-0000-0000-0000B8160000}"/>
    <cellStyle name="Percent 3 3" xfId="1161" xr:uid="{00000000-0005-0000-0000-0000B9160000}"/>
    <cellStyle name="Percent 3 3 2" xfId="1162" xr:uid="{00000000-0005-0000-0000-0000BA160000}"/>
    <cellStyle name="Percent 3 3 2 2" xfId="2139" xr:uid="{00000000-0005-0000-0000-0000BB160000}"/>
    <cellStyle name="Percent 3 3 2 2 2" xfId="5842" xr:uid="{00000000-0005-0000-0000-0000BC160000}"/>
    <cellStyle name="Percent 3 3 2 3" xfId="5843" xr:uid="{00000000-0005-0000-0000-0000BD160000}"/>
    <cellStyle name="Percent 3 3 2 4" xfId="3299" xr:uid="{00000000-0005-0000-0000-0000BE160000}"/>
    <cellStyle name="Percent 3 3 3" xfId="1565" xr:uid="{00000000-0005-0000-0000-0000BF160000}"/>
    <cellStyle name="Percent 3 3 3 2" xfId="5844" xr:uid="{00000000-0005-0000-0000-0000C0160000}"/>
    <cellStyle name="Percent 3 3 4" xfId="5845" xr:uid="{00000000-0005-0000-0000-0000C1160000}"/>
    <cellStyle name="Percent 3 3 5" xfId="2724" xr:uid="{00000000-0005-0000-0000-0000C2160000}"/>
    <cellStyle name="Percent 3 4" xfId="1163" xr:uid="{00000000-0005-0000-0000-0000C3160000}"/>
    <cellStyle name="Percent 3 4 2" xfId="1164" xr:uid="{00000000-0005-0000-0000-0000C4160000}"/>
    <cellStyle name="Percent 3 4 2 2" xfId="2285" xr:uid="{00000000-0005-0000-0000-0000C5160000}"/>
    <cellStyle name="Percent 3 4 2 2 2" xfId="5846" xr:uid="{00000000-0005-0000-0000-0000C6160000}"/>
    <cellStyle name="Percent 3 4 2 3" xfId="5847" xr:uid="{00000000-0005-0000-0000-0000C7160000}"/>
    <cellStyle name="Percent 3 4 2 4" xfId="3445" xr:uid="{00000000-0005-0000-0000-0000C8160000}"/>
    <cellStyle name="Percent 3 4 3" xfId="1711" xr:uid="{00000000-0005-0000-0000-0000C9160000}"/>
    <cellStyle name="Percent 3 4 3 2" xfId="5848" xr:uid="{00000000-0005-0000-0000-0000CA160000}"/>
    <cellStyle name="Percent 3 4 4" xfId="5849" xr:uid="{00000000-0005-0000-0000-0000CB160000}"/>
    <cellStyle name="Percent 3 4 5" xfId="2870" xr:uid="{00000000-0005-0000-0000-0000CC160000}"/>
    <cellStyle name="Percent 3 5" xfId="1165" xr:uid="{00000000-0005-0000-0000-0000CD160000}"/>
    <cellStyle name="Percent 3 5 2" xfId="1860" xr:uid="{00000000-0005-0000-0000-0000CE160000}"/>
    <cellStyle name="Percent 3 5 2 2" xfId="5850" xr:uid="{00000000-0005-0000-0000-0000CF160000}"/>
    <cellStyle name="Percent 3 5 3" xfId="5851" xr:uid="{00000000-0005-0000-0000-0000D0160000}"/>
    <cellStyle name="Percent 3 5 4" xfId="3020" xr:uid="{00000000-0005-0000-0000-0000D1160000}"/>
    <cellStyle name="Percent 3 6" xfId="1285" xr:uid="{00000000-0005-0000-0000-0000D2160000}"/>
    <cellStyle name="Percent 3 6 2" xfId="5852" xr:uid="{00000000-0005-0000-0000-0000D3160000}"/>
    <cellStyle name="Percent 3 7" xfId="5853" xr:uid="{00000000-0005-0000-0000-0000D4160000}"/>
    <cellStyle name="Percent 3 8" xfId="2444" xr:uid="{00000000-0005-0000-0000-0000D5160000}"/>
    <cellStyle name="Percent 4" xfId="1166" xr:uid="{00000000-0005-0000-0000-0000D6160000}"/>
    <cellStyle name="Percent 4 2" xfId="5854" xr:uid="{00000000-0005-0000-0000-0000D7160000}"/>
    <cellStyle name="Percent 5" xfId="1167" xr:uid="{00000000-0005-0000-0000-0000D8160000}"/>
    <cellStyle name="Percent 5 2" xfId="1168" xr:uid="{00000000-0005-0000-0000-0000D9160000}"/>
    <cellStyle name="Percent 5 2 2" xfId="1914" xr:uid="{00000000-0005-0000-0000-0000DA160000}"/>
    <cellStyle name="Percent 5 2 2 2" xfId="5855" xr:uid="{00000000-0005-0000-0000-0000DB160000}"/>
    <cellStyle name="Percent 5 2 3" xfId="5856" xr:uid="{00000000-0005-0000-0000-0000DC160000}"/>
    <cellStyle name="Percent 5 2 4" xfId="3074" xr:uid="{00000000-0005-0000-0000-0000DD160000}"/>
    <cellStyle name="Percent 5 3" xfId="1339" xr:uid="{00000000-0005-0000-0000-0000DE160000}"/>
    <cellStyle name="Percent 5 3 2" xfId="5857" xr:uid="{00000000-0005-0000-0000-0000DF160000}"/>
    <cellStyle name="Percent 5 4" xfId="5858" xr:uid="{00000000-0005-0000-0000-0000E0160000}"/>
    <cellStyle name="Percent 5 5" xfId="2498" xr:uid="{00000000-0005-0000-0000-0000E1160000}"/>
    <cellStyle name="Percent 6" xfId="1169" xr:uid="{00000000-0005-0000-0000-0000E2160000}"/>
    <cellStyle name="Percent 6 2" xfId="1170" xr:uid="{00000000-0005-0000-0000-0000E3160000}"/>
    <cellStyle name="Percent 6 2 2" xfId="2195" xr:uid="{00000000-0005-0000-0000-0000E4160000}"/>
    <cellStyle name="Percent 6 2 2 2" xfId="5859" xr:uid="{00000000-0005-0000-0000-0000E5160000}"/>
    <cellStyle name="Percent 6 2 3" xfId="5860" xr:uid="{00000000-0005-0000-0000-0000E6160000}"/>
    <cellStyle name="Percent 6 2 4" xfId="3355" xr:uid="{00000000-0005-0000-0000-0000E7160000}"/>
    <cellStyle name="Percent 6 3" xfId="1621" xr:uid="{00000000-0005-0000-0000-0000E8160000}"/>
    <cellStyle name="Percent 6 3 2" xfId="5861" xr:uid="{00000000-0005-0000-0000-0000E9160000}"/>
    <cellStyle name="Percent 6 4" xfId="5862" xr:uid="{00000000-0005-0000-0000-0000EA160000}"/>
    <cellStyle name="Percent 6 5" xfId="2780" xr:uid="{00000000-0005-0000-0000-0000EB160000}"/>
    <cellStyle name="Percent 7" xfId="1171" xr:uid="{00000000-0005-0000-0000-0000EC160000}"/>
    <cellStyle name="Percent 7 2" xfId="1172" xr:uid="{00000000-0005-0000-0000-0000ED160000}"/>
    <cellStyle name="Percent 7 2 2" xfId="2343" xr:uid="{00000000-0005-0000-0000-0000EE160000}"/>
    <cellStyle name="Percent 7 2 2 2" xfId="5863" xr:uid="{00000000-0005-0000-0000-0000EF160000}"/>
    <cellStyle name="Percent 7 2 3" xfId="5864" xr:uid="{00000000-0005-0000-0000-0000F0160000}"/>
    <cellStyle name="Percent 7 2 4" xfId="3501" xr:uid="{00000000-0005-0000-0000-0000F1160000}"/>
    <cellStyle name="Percent 7 3" xfId="1765" xr:uid="{00000000-0005-0000-0000-0000F2160000}"/>
    <cellStyle name="Percent 7 3 2" xfId="5865" xr:uid="{00000000-0005-0000-0000-0000F3160000}"/>
    <cellStyle name="Percent 7 4" xfId="5866" xr:uid="{00000000-0005-0000-0000-0000F4160000}"/>
    <cellStyle name="Percent 7 5" xfId="2924" xr:uid="{00000000-0005-0000-0000-0000F5160000}"/>
    <cellStyle name="Percent 8" xfId="1173" xr:uid="{00000000-0005-0000-0000-0000F6160000}"/>
    <cellStyle name="Percent 8 2" xfId="5867" xr:uid="{00000000-0005-0000-0000-0000F7160000}"/>
    <cellStyle name="Percent 9" xfId="2345" xr:uid="{00000000-0005-0000-0000-0000F8160000}"/>
    <cellStyle name="Percent 9 2" xfId="5868" xr:uid="{00000000-0005-0000-0000-0000F9160000}"/>
  </cellStyles>
  <dxfs count="0"/>
  <tableStyles count="0" defaultTableStyle="TableStyleMedium2" defaultPivotStyle="PivotStyleLight16"/>
  <colors>
    <mruColors>
      <color rgb="FFFF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W104"/>
  <sheetViews>
    <sheetView workbookViewId="0">
      <pane xSplit="3" ySplit="7" topLeftCell="D53" activePane="bottomRight" state="frozen"/>
      <selection pane="topRight" activeCell="D1" sqref="D1"/>
      <selection pane="bottomLeft" activeCell="A8" sqref="A8"/>
      <selection pane="bottomRight" activeCell="B45" sqref="B45"/>
    </sheetView>
  </sheetViews>
  <sheetFormatPr defaultColWidth="9.1328125" defaultRowHeight="17.25"/>
  <cols>
    <col min="1" max="1" width="47.73046875" customWidth="1"/>
    <col min="2" max="2" width="10.1328125" customWidth="1"/>
    <col min="3" max="3" width="26.73046875" style="123" bestFit="1" customWidth="1"/>
    <col min="4" max="13" width="17.59765625" style="22" bestFit="1" customWidth="1"/>
    <col min="14" max="14" width="21" style="149" bestFit="1" customWidth="1"/>
    <col min="15" max="16" width="15.3984375" style="22" bestFit="1" customWidth="1"/>
    <col min="17" max="17" width="23.59765625" style="149" bestFit="1" customWidth="1"/>
    <col min="18" max="18" width="15.3984375" style="22" bestFit="1" customWidth="1"/>
    <col min="19" max="19" width="21" style="22" bestFit="1" customWidth="1"/>
    <col min="20" max="20" width="23.59765625" style="149" bestFit="1" customWidth="1"/>
    <col min="21" max="21" width="18.3984375" style="22" bestFit="1" customWidth="1"/>
    <col min="22" max="22" width="20.86328125" style="22" bestFit="1" customWidth="1"/>
    <col min="23" max="23" width="17.73046875" style="22" bestFit="1" customWidth="1"/>
  </cols>
  <sheetData>
    <row r="1" spans="1:23">
      <c r="A1" s="2" t="s">
        <v>57</v>
      </c>
    </row>
    <row r="2" spans="1:23">
      <c r="A2" s="2" t="s">
        <v>59</v>
      </c>
    </row>
    <row r="3" spans="1:23">
      <c r="A3" s="2" t="s">
        <v>11</v>
      </c>
    </row>
    <row r="4" spans="1:23">
      <c r="A4" s="2" t="s">
        <v>58</v>
      </c>
    </row>
    <row r="5" spans="1:23">
      <c r="A5" s="8" t="s">
        <v>12</v>
      </c>
      <c r="B5" s="12"/>
      <c r="D5" s="23"/>
      <c r="E5" s="23"/>
      <c r="F5" s="23"/>
      <c r="G5" s="23"/>
      <c r="H5" s="23"/>
      <c r="I5" s="23"/>
      <c r="J5" s="23"/>
      <c r="K5" s="23"/>
      <c r="L5" s="23"/>
      <c r="M5" s="23"/>
      <c r="N5" s="150"/>
    </row>
    <row r="6" spans="1:23" ht="18" thickBot="1">
      <c r="C6" s="124"/>
    </row>
    <row r="7" spans="1:23" ht="44.25" customHeight="1" thickBot="1">
      <c r="A7" s="21" t="s">
        <v>15</v>
      </c>
      <c r="B7" s="51" t="s">
        <v>1</v>
      </c>
      <c r="C7" s="125" t="s">
        <v>8</v>
      </c>
      <c r="D7" s="52" t="s">
        <v>37</v>
      </c>
      <c r="E7" s="24" t="s">
        <v>38</v>
      </c>
      <c r="F7" s="24" t="s">
        <v>39</v>
      </c>
      <c r="G7" s="24" t="s">
        <v>40</v>
      </c>
      <c r="H7" s="24" t="s">
        <v>42</v>
      </c>
      <c r="I7" s="24" t="s">
        <v>43</v>
      </c>
      <c r="J7" s="24" t="s">
        <v>41</v>
      </c>
      <c r="K7" s="24" t="s">
        <v>44</v>
      </c>
      <c r="L7" s="24" t="s">
        <v>45</v>
      </c>
      <c r="M7" s="72" t="s">
        <v>46</v>
      </c>
      <c r="N7" s="151" t="s">
        <v>47</v>
      </c>
      <c r="O7" s="52" t="s">
        <v>51</v>
      </c>
      <c r="P7" s="72" t="s">
        <v>52</v>
      </c>
      <c r="Q7" s="151" t="s">
        <v>53</v>
      </c>
      <c r="R7" s="52" t="s">
        <v>48</v>
      </c>
      <c r="S7" s="72" t="s">
        <v>49</v>
      </c>
      <c r="T7" s="151" t="s">
        <v>50</v>
      </c>
      <c r="U7" s="52" t="s">
        <v>54</v>
      </c>
      <c r="V7" s="72" t="s">
        <v>55</v>
      </c>
      <c r="W7" s="24" t="s">
        <v>56</v>
      </c>
    </row>
    <row r="8" spans="1:23" ht="27" customHeight="1">
      <c r="A8" s="14" t="s">
        <v>21</v>
      </c>
      <c r="B8" s="3">
        <v>1</v>
      </c>
      <c r="C8" s="126">
        <f>'Revenue Estimates'!I26</f>
        <v>13073858.239150001</v>
      </c>
      <c r="D8" s="26">
        <f t="shared" ref="D8:M9" si="0">$C8*D$55/$C$55</f>
        <v>604862.19990537874</v>
      </c>
      <c r="E8" s="26">
        <f t="shared" si="0"/>
        <v>740398.60849136009</v>
      </c>
      <c r="F8" s="26">
        <f t="shared" si="0"/>
        <v>538261.31435730343</v>
      </c>
      <c r="G8" s="26">
        <f t="shared" si="0"/>
        <v>889782.37243044178</v>
      </c>
      <c r="H8" s="26">
        <f t="shared" si="0"/>
        <v>570550.35941705084</v>
      </c>
      <c r="I8" s="26">
        <f t="shared" si="0"/>
        <v>449819.15255685861</v>
      </c>
      <c r="J8" s="26">
        <f t="shared" si="0"/>
        <v>567855.88739527622</v>
      </c>
      <c r="K8" s="26">
        <f t="shared" si="0"/>
        <v>828310.41783664341</v>
      </c>
      <c r="L8" s="26">
        <f t="shared" si="0"/>
        <v>750504.73527995893</v>
      </c>
      <c r="M8" s="26">
        <f t="shared" si="0"/>
        <v>611156.72458790697</v>
      </c>
      <c r="N8" s="152">
        <f t="shared" ref="N8:W9" si="1">$C8*N$55/$C$55</f>
        <v>6197074.7855302002</v>
      </c>
      <c r="O8" s="26">
        <f t="shared" si="1"/>
        <v>471749.69103569235</v>
      </c>
      <c r="P8" s="26">
        <f t="shared" si="1"/>
        <v>0</v>
      </c>
      <c r="Q8" s="152">
        <f t="shared" si="1"/>
        <v>445849.76405572408</v>
      </c>
      <c r="R8" s="26">
        <f t="shared" si="1"/>
        <v>1113973.3340211592</v>
      </c>
      <c r="S8" s="26">
        <f t="shared" si="1"/>
        <v>1476959.8480701344</v>
      </c>
      <c r="T8" s="152">
        <f t="shared" si="1"/>
        <v>2454547.3561754022</v>
      </c>
      <c r="U8" s="26">
        <f t="shared" si="1"/>
        <v>1677253.8532806756</v>
      </c>
      <c r="V8" s="26">
        <f t="shared" si="1"/>
        <v>1427037.5866560333</v>
      </c>
      <c r="W8" s="73">
        <f t="shared" si="1"/>
        <v>2941937.8164685746</v>
      </c>
    </row>
    <row r="9" spans="1:23" ht="18">
      <c r="A9" s="14" t="s">
        <v>22</v>
      </c>
      <c r="B9" s="3">
        <v>2</v>
      </c>
      <c r="C9" s="127">
        <v>0</v>
      </c>
      <c r="D9" s="26">
        <f t="shared" si="0"/>
        <v>0</v>
      </c>
      <c r="E9" s="26">
        <f t="shared" si="0"/>
        <v>0</v>
      </c>
      <c r="F9" s="26">
        <f t="shared" si="0"/>
        <v>0</v>
      </c>
      <c r="G9" s="26">
        <f t="shared" si="0"/>
        <v>0</v>
      </c>
      <c r="H9" s="26">
        <f t="shared" si="0"/>
        <v>0</v>
      </c>
      <c r="I9" s="26">
        <f t="shared" si="0"/>
        <v>0</v>
      </c>
      <c r="J9" s="26">
        <f t="shared" si="0"/>
        <v>0</v>
      </c>
      <c r="K9" s="26">
        <f t="shared" si="0"/>
        <v>0</v>
      </c>
      <c r="L9" s="26">
        <f t="shared" si="0"/>
        <v>0</v>
      </c>
      <c r="M9" s="26">
        <f t="shared" si="0"/>
        <v>0</v>
      </c>
      <c r="N9" s="152">
        <f t="shared" si="1"/>
        <v>0</v>
      </c>
      <c r="O9" s="26">
        <f t="shared" si="1"/>
        <v>0</v>
      </c>
      <c r="P9" s="26">
        <f t="shared" si="1"/>
        <v>0</v>
      </c>
      <c r="Q9" s="152">
        <f t="shared" si="1"/>
        <v>0</v>
      </c>
      <c r="R9" s="26">
        <f t="shared" si="1"/>
        <v>0</v>
      </c>
      <c r="S9" s="26">
        <f t="shared" si="1"/>
        <v>0</v>
      </c>
      <c r="T9" s="152">
        <f t="shared" si="1"/>
        <v>0</v>
      </c>
      <c r="U9" s="26">
        <f t="shared" si="1"/>
        <v>0</v>
      </c>
      <c r="V9" s="26">
        <f t="shared" si="1"/>
        <v>0</v>
      </c>
      <c r="W9" s="73">
        <f t="shared" si="1"/>
        <v>0</v>
      </c>
    </row>
    <row r="10" spans="1:23" ht="18">
      <c r="A10" s="14" t="s">
        <v>10</v>
      </c>
      <c r="B10" s="3">
        <v>3</v>
      </c>
      <c r="C10" s="127">
        <f t="shared" ref="C10:W10" si="2">C71</f>
        <v>57461533.099383458</v>
      </c>
      <c r="D10" s="28">
        <f t="shared" si="2"/>
        <v>3076446.711653417</v>
      </c>
      <c r="E10" s="28">
        <f t="shared" si="2"/>
        <v>3765811.2290077577</v>
      </c>
      <c r="F10" s="28">
        <f t="shared" si="2"/>
        <v>2737701.6629966581</v>
      </c>
      <c r="G10" s="28">
        <f t="shared" si="2"/>
        <v>4525606.0871038521</v>
      </c>
      <c r="H10" s="28">
        <f t="shared" si="2"/>
        <v>2901930.0219716914</v>
      </c>
      <c r="I10" s="28">
        <f t="shared" si="2"/>
        <v>2287867.6381806554</v>
      </c>
      <c r="J10" s="28">
        <f t="shared" si="2"/>
        <v>2888225.4135628217</v>
      </c>
      <c r="K10" s="28">
        <f t="shared" si="2"/>
        <v>4212947.7781558242</v>
      </c>
      <c r="L10" s="28">
        <f t="shared" si="2"/>
        <v>3817212.9541134122</v>
      </c>
      <c r="M10" s="28">
        <f t="shared" si="2"/>
        <v>3108461.8876125272</v>
      </c>
      <c r="N10" s="153">
        <f t="shared" si="2"/>
        <v>31519526.842307396</v>
      </c>
      <c r="O10" s="28">
        <f t="shared" si="2"/>
        <v>2399410.6193729853</v>
      </c>
      <c r="P10" s="28">
        <f t="shared" si="2"/>
        <v>0</v>
      </c>
      <c r="Q10" s="153">
        <f t="shared" si="2"/>
        <v>2267678.5567609533</v>
      </c>
      <c r="R10" s="28">
        <f t="shared" si="2"/>
        <v>5665884.8922202485</v>
      </c>
      <c r="S10" s="28">
        <f t="shared" si="2"/>
        <v>7512104.8538829172</v>
      </c>
      <c r="T10" s="153">
        <f t="shared" si="2"/>
        <v>12484304.927113459</v>
      </c>
      <c r="U10" s="28">
        <f t="shared" si="2"/>
        <v>8530839.0941615403</v>
      </c>
      <c r="V10" s="28">
        <f t="shared" si="2"/>
        <v>7258190.5292818118</v>
      </c>
      <c r="W10" s="74">
        <f t="shared" si="2"/>
        <v>14963267.538919482</v>
      </c>
    </row>
    <row r="11" spans="1:23" ht="18">
      <c r="A11" s="14" t="s">
        <v>164</v>
      </c>
      <c r="B11" s="3">
        <v>4</v>
      </c>
      <c r="C11" s="127"/>
      <c r="D11" s="26">
        <f t="shared" ref="D11:M13" si="3">$C11*D$55/$C$55</f>
        <v>0</v>
      </c>
      <c r="E11" s="26">
        <f t="shared" si="3"/>
        <v>0</v>
      </c>
      <c r="F11" s="26">
        <f t="shared" si="3"/>
        <v>0</v>
      </c>
      <c r="G11" s="26">
        <f t="shared" si="3"/>
        <v>0</v>
      </c>
      <c r="H11" s="26">
        <f t="shared" si="3"/>
        <v>0</v>
      </c>
      <c r="I11" s="26">
        <f t="shared" si="3"/>
        <v>0</v>
      </c>
      <c r="J11" s="26">
        <f t="shared" si="3"/>
        <v>0</v>
      </c>
      <c r="K11" s="26">
        <f t="shared" si="3"/>
        <v>0</v>
      </c>
      <c r="L11" s="26">
        <f t="shared" si="3"/>
        <v>0</v>
      </c>
      <c r="M11" s="26">
        <f t="shared" si="3"/>
        <v>0</v>
      </c>
      <c r="N11" s="152">
        <f t="shared" ref="N11:W13" si="4">$C11*N$55/$C$55</f>
        <v>0</v>
      </c>
      <c r="O11" s="26">
        <f t="shared" si="4"/>
        <v>0</v>
      </c>
      <c r="P11" s="26">
        <f t="shared" si="4"/>
        <v>0</v>
      </c>
      <c r="Q11" s="152">
        <f t="shared" si="4"/>
        <v>0</v>
      </c>
      <c r="R11" s="26">
        <f t="shared" si="4"/>
        <v>0</v>
      </c>
      <c r="S11" s="26">
        <f t="shared" si="4"/>
        <v>0</v>
      </c>
      <c r="T11" s="152">
        <f t="shared" si="4"/>
        <v>0</v>
      </c>
      <c r="U11" s="26">
        <f t="shared" si="4"/>
        <v>0</v>
      </c>
      <c r="V11" s="26">
        <f t="shared" si="4"/>
        <v>0</v>
      </c>
      <c r="W11" s="73">
        <f t="shared" si="4"/>
        <v>0</v>
      </c>
    </row>
    <row r="12" spans="1:23" ht="18">
      <c r="A12" s="14" t="s">
        <v>30</v>
      </c>
      <c r="B12" s="3">
        <v>5</v>
      </c>
      <c r="C12" s="127">
        <f>'Revenue Estimates'!F40</f>
        <v>18899.940000000002</v>
      </c>
      <c r="D12" s="26">
        <f t="shared" si="3"/>
        <v>874.40593873403577</v>
      </c>
      <c r="E12" s="26">
        <f t="shared" si="3"/>
        <v>1070.3412122571699</v>
      </c>
      <c r="F12" s="26">
        <f t="shared" si="3"/>
        <v>778.12581103339096</v>
      </c>
      <c r="G12" s="26">
        <f t="shared" si="3"/>
        <v>1286.2946151301053</v>
      </c>
      <c r="H12" s="26">
        <f t="shared" si="3"/>
        <v>824.80376968365999</v>
      </c>
      <c r="I12" s="26">
        <f t="shared" si="3"/>
        <v>650.2713153732501</v>
      </c>
      <c r="J12" s="26">
        <f t="shared" si="3"/>
        <v>820.90856456427741</v>
      </c>
      <c r="K12" s="26">
        <f t="shared" si="3"/>
        <v>1197.4290153772777</v>
      </c>
      <c r="L12" s="26">
        <f t="shared" si="3"/>
        <v>1084.950915563034</v>
      </c>
      <c r="M12" s="26">
        <f t="shared" si="3"/>
        <v>883.50548200979642</v>
      </c>
      <c r="N12" s="152">
        <f t="shared" si="4"/>
        <v>8958.666942808195</v>
      </c>
      <c r="O12" s="26">
        <f t="shared" si="4"/>
        <v>681.97472333712574</v>
      </c>
      <c r="P12" s="26">
        <f t="shared" si="4"/>
        <v>0</v>
      </c>
      <c r="Q12" s="152">
        <f t="shared" si="4"/>
        <v>644.53305485857834</v>
      </c>
      <c r="R12" s="26">
        <f t="shared" si="4"/>
        <v>1610.3914230577359</v>
      </c>
      <c r="S12" s="26">
        <f t="shared" si="4"/>
        <v>2135.1350152584737</v>
      </c>
      <c r="T12" s="152">
        <f t="shared" si="4"/>
        <v>3548.3632230274084</v>
      </c>
      <c r="U12" s="26">
        <f t="shared" si="4"/>
        <v>2424.6857057733064</v>
      </c>
      <c r="V12" s="26">
        <f t="shared" si="4"/>
        <v>2062.9659792989582</v>
      </c>
      <c r="W12" s="73">
        <f t="shared" si="4"/>
        <v>4252.9486856820995</v>
      </c>
    </row>
    <row r="13" spans="1:23" ht="20.25">
      <c r="A13" s="1" t="s">
        <v>165</v>
      </c>
      <c r="B13" s="3">
        <v>6</v>
      </c>
      <c r="C13" s="128">
        <f>C61</f>
        <v>12017853.842816122</v>
      </c>
      <c r="D13" s="29">
        <f t="shared" si="3"/>
        <v>556006.14451665292</v>
      </c>
      <c r="E13" s="29">
        <f t="shared" si="3"/>
        <v>680594.97812423168</v>
      </c>
      <c r="F13" s="29">
        <f t="shared" si="3"/>
        <v>494784.7595453767</v>
      </c>
      <c r="G13" s="29">
        <f t="shared" si="3"/>
        <v>817912.68561884412</v>
      </c>
      <c r="H13" s="29">
        <f t="shared" si="3"/>
        <v>524465.74714321818</v>
      </c>
      <c r="I13" s="29">
        <f t="shared" si="3"/>
        <v>413486.26642896788</v>
      </c>
      <c r="J13" s="29">
        <f t="shared" si="3"/>
        <v>521988.91357588785</v>
      </c>
      <c r="K13" s="29">
        <f t="shared" si="3"/>
        <v>761405.9565242714</v>
      </c>
      <c r="L13" s="29">
        <f t="shared" si="3"/>
        <v>689884.81073834503</v>
      </c>
      <c r="M13" s="29">
        <f t="shared" si="3"/>
        <v>561792.24654261011</v>
      </c>
      <c r="N13" s="154">
        <f t="shared" si="4"/>
        <v>5696523.3723036796</v>
      </c>
      <c r="O13" s="29">
        <f t="shared" si="4"/>
        <v>433645.42689344718</v>
      </c>
      <c r="P13" s="29">
        <f t="shared" si="4"/>
        <v>0</v>
      </c>
      <c r="Q13" s="154">
        <f t="shared" si="4"/>
        <v>409837.49420126085</v>
      </c>
      <c r="R13" s="29">
        <f t="shared" si="4"/>
        <v>1023995.2482406045</v>
      </c>
      <c r="S13" s="29">
        <f t="shared" si="4"/>
        <v>1357662.5400956462</v>
      </c>
      <c r="T13" s="154">
        <f t="shared" si="4"/>
        <v>2256288.1467119651</v>
      </c>
      <c r="U13" s="29">
        <f t="shared" si="4"/>
        <v>1541778.3562672182</v>
      </c>
      <c r="V13" s="29">
        <f t="shared" si="4"/>
        <v>1311772.6099615609</v>
      </c>
      <c r="W13" s="75">
        <f t="shared" si="4"/>
        <v>2704311.00339601</v>
      </c>
    </row>
    <row r="14" spans="1:23" s="11" customFormat="1" ht="17.649999999999999">
      <c r="A14" s="5" t="s">
        <v>16</v>
      </c>
      <c r="B14" s="10">
        <v>7</v>
      </c>
      <c r="C14" s="129">
        <f t="shared" ref="C14:W14" si="5">SUM(C8:C13)</f>
        <v>82572145.121349573</v>
      </c>
      <c r="D14" s="30">
        <f t="shared" si="5"/>
        <v>4238189.4620141825</v>
      </c>
      <c r="E14" s="30">
        <f t="shared" si="5"/>
        <v>5187875.1568356063</v>
      </c>
      <c r="F14" s="30">
        <f t="shared" si="5"/>
        <v>3771525.8627103716</v>
      </c>
      <c r="G14" s="30">
        <f t="shared" si="5"/>
        <v>6234587.4397682678</v>
      </c>
      <c r="H14" s="30">
        <f t="shared" si="5"/>
        <v>3997770.9323016442</v>
      </c>
      <c r="I14" s="30">
        <f t="shared" si="5"/>
        <v>3151823.3284818553</v>
      </c>
      <c r="J14" s="30">
        <f t="shared" si="5"/>
        <v>3978891.1230985499</v>
      </c>
      <c r="K14" s="30">
        <f t="shared" si="5"/>
        <v>5803861.581532117</v>
      </c>
      <c r="L14" s="30">
        <f t="shared" si="5"/>
        <v>5258687.4510472789</v>
      </c>
      <c r="M14" s="30">
        <f t="shared" si="5"/>
        <v>4282294.3642250542</v>
      </c>
      <c r="N14" s="155">
        <f t="shared" si="5"/>
        <v>43422083.667084083</v>
      </c>
      <c r="O14" s="30">
        <f t="shared" si="5"/>
        <v>3305487.7120254622</v>
      </c>
      <c r="P14" s="30">
        <f t="shared" si="5"/>
        <v>0</v>
      </c>
      <c r="Q14" s="155">
        <f t="shared" si="5"/>
        <v>3124010.3480727971</v>
      </c>
      <c r="R14" s="30">
        <f t="shared" si="5"/>
        <v>7805463.8659050707</v>
      </c>
      <c r="S14" s="30">
        <f t="shared" si="5"/>
        <v>10348862.377063956</v>
      </c>
      <c r="T14" s="155">
        <f t="shared" si="5"/>
        <v>17198688.793223854</v>
      </c>
      <c r="U14" s="30">
        <f t="shared" si="5"/>
        <v>11752295.989415206</v>
      </c>
      <c r="V14" s="30">
        <f t="shared" si="5"/>
        <v>9999063.6918787062</v>
      </c>
      <c r="W14" s="54">
        <f t="shared" si="5"/>
        <v>20613769.307469748</v>
      </c>
    </row>
    <row r="15" spans="1:23" ht="17.649999999999999">
      <c r="A15" s="9"/>
      <c r="B15" s="3"/>
      <c r="C15" s="130"/>
      <c r="D15" s="32"/>
      <c r="E15" s="32"/>
      <c r="F15" s="32"/>
      <c r="G15" s="32"/>
      <c r="H15" s="32"/>
      <c r="I15" s="32"/>
      <c r="J15" s="32"/>
      <c r="K15" s="32"/>
      <c r="L15" s="32"/>
      <c r="M15" s="32"/>
      <c r="N15" s="156"/>
      <c r="O15" s="32"/>
      <c r="P15" s="32"/>
      <c r="Q15" s="156"/>
      <c r="R15" s="32"/>
      <c r="S15" s="32"/>
      <c r="T15" s="156"/>
      <c r="U15" s="32"/>
      <c r="V15" s="32"/>
      <c r="W15" s="76"/>
    </row>
    <row r="16" spans="1:23" ht="17.649999999999999">
      <c r="A16" s="9" t="s">
        <v>17</v>
      </c>
      <c r="B16" s="4">
        <f>COUNTA($B$8:B15)+1</f>
        <v>8</v>
      </c>
      <c r="C16" s="130">
        <f>C14</f>
        <v>82572145.121349573</v>
      </c>
      <c r="D16" s="32">
        <f t="shared" ref="D16:W16" si="6">D14</f>
        <v>4238189.4620141825</v>
      </c>
      <c r="E16" s="32">
        <f t="shared" si="6"/>
        <v>5187875.1568356063</v>
      </c>
      <c r="F16" s="32">
        <f t="shared" si="6"/>
        <v>3771525.8627103716</v>
      </c>
      <c r="G16" s="32">
        <f t="shared" si="6"/>
        <v>6234587.4397682678</v>
      </c>
      <c r="H16" s="32">
        <f t="shared" si="6"/>
        <v>3997770.9323016442</v>
      </c>
      <c r="I16" s="32">
        <f t="shared" si="6"/>
        <v>3151823.3284818553</v>
      </c>
      <c r="J16" s="32">
        <f t="shared" si="6"/>
        <v>3978891.1230985499</v>
      </c>
      <c r="K16" s="32">
        <f t="shared" si="6"/>
        <v>5803861.581532117</v>
      </c>
      <c r="L16" s="32">
        <f t="shared" si="6"/>
        <v>5258687.4510472789</v>
      </c>
      <c r="M16" s="32">
        <f t="shared" si="6"/>
        <v>4282294.3642250542</v>
      </c>
      <c r="N16" s="156">
        <f t="shared" si="6"/>
        <v>43422083.667084083</v>
      </c>
      <c r="O16" s="32">
        <f t="shared" si="6"/>
        <v>3305487.7120254622</v>
      </c>
      <c r="P16" s="32">
        <f t="shared" si="6"/>
        <v>0</v>
      </c>
      <c r="Q16" s="156">
        <f t="shared" si="6"/>
        <v>3124010.3480727971</v>
      </c>
      <c r="R16" s="32">
        <f t="shared" si="6"/>
        <v>7805463.8659050707</v>
      </c>
      <c r="S16" s="32">
        <f t="shared" si="6"/>
        <v>10348862.377063956</v>
      </c>
      <c r="T16" s="156">
        <f t="shared" si="6"/>
        <v>17198688.793223854</v>
      </c>
      <c r="U16" s="32">
        <f t="shared" si="6"/>
        <v>11752295.989415206</v>
      </c>
      <c r="V16" s="32">
        <f t="shared" si="6"/>
        <v>9999063.6918787062</v>
      </c>
      <c r="W16" s="76">
        <f t="shared" si="6"/>
        <v>20613769.307469748</v>
      </c>
    </row>
    <row r="17" spans="1:23" ht="17.649999999999999">
      <c r="A17" s="9"/>
      <c r="B17" s="3"/>
      <c r="C17" s="130"/>
      <c r="D17" s="30"/>
      <c r="E17" s="30"/>
      <c r="F17" s="30"/>
      <c r="G17" s="30"/>
      <c r="H17" s="30"/>
      <c r="I17" s="30"/>
      <c r="J17" s="30"/>
      <c r="K17" s="30"/>
      <c r="L17" s="30"/>
      <c r="M17" s="30"/>
      <c r="N17" s="155"/>
      <c r="O17" s="30"/>
      <c r="P17" s="30"/>
      <c r="Q17" s="155"/>
      <c r="R17" s="30"/>
      <c r="S17" s="30"/>
      <c r="T17" s="155"/>
      <c r="U17" s="30"/>
      <c r="V17" s="30"/>
      <c r="W17" s="54"/>
    </row>
    <row r="18" spans="1:23" ht="17.649999999999999">
      <c r="A18" s="14" t="s">
        <v>0</v>
      </c>
      <c r="B18" s="4">
        <f>COUNTA($B$8:B17)+1</f>
        <v>9</v>
      </c>
      <c r="C18" s="130">
        <f t="shared" ref="C18:W18" si="7">(C16-C89)*0.04</f>
        <v>3002885.8048539828</v>
      </c>
      <c r="D18" s="25">
        <f t="shared" si="7"/>
        <v>149527.57848056729</v>
      </c>
      <c r="E18" s="25">
        <f t="shared" si="7"/>
        <v>187515.00627342425</v>
      </c>
      <c r="F18" s="25">
        <f t="shared" si="7"/>
        <v>130861.03450841487</v>
      </c>
      <c r="G18" s="25">
        <f t="shared" si="7"/>
        <v>229383.49759073072</v>
      </c>
      <c r="H18" s="25">
        <f t="shared" si="7"/>
        <v>139910.83729206579</v>
      </c>
      <c r="I18" s="25">
        <f t="shared" si="7"/>
        <v>106072.93313927422</v>
      </c>
      <c r="J18" s="25">
        <f t="shared" si="7"/>
        <v>139155.64492394199</v>
      </c>
      <c r="K18" s="25">
        <f t="shared" si="7"/>
        <v>212154.46326128469</v>
      </c>
      <c r="L18" s="25">
        <f t="shared" si="7"/>
        <v>190347.49804189117</v>
      </c>
      <c r="M18" s="25">
        <f t="shared" si="7"/>
        <v>151291.77456900218</v>
      </c>
      <c r="N18" s="25">
        <f t="shared" si="7"/>
        <v>1536883.3466833634</v>
      </c>
      <c r="O18" s="25">
        <f t="shared" si="7"/>
        <v>112219.50848101849</v>
      </c>
      <c r="P18" s="25">
        <f t="shared" si="7"/>
        <v>0</v>
      </c>
      <c r="Q18" s="25">
        <f t="shared" si="7"/>
        <v>104960.41392291189</v>
      </c>
      <c r="R18" s="25">
        <f t="shared" si="7"/>
        <v>292218.55463620281</v>
      </c>
      <c r="S18" s="25">
        <f t="shared" si="7"/>
        <v>393954.49508255825</v>
      </c>
      <c r="T18" s="25">
        <f t="shared" si="7"/>
        <v>647947.55172895419</v>
      </c>
      <c r="U18" s="25">
        <f t="shared" si="7"/>
        <v>450091.83957660827</v>
      </c>
      <c r="V18" s="25">
        <f t="shared" si="7"/>
        <v>379962.54767514823</v>
      </c>
      <c r="W18" s="25">
        <f t="shared" si="7"/>
        <v>784550.77229878993</v>
      </c>
    </row>
    <row r="19" spans="1:23" ht="20.25">
      <c r="A19" s="14" t="s">
        <v>20</v>
      </c>
      <c r="B19" s="4">
        <f>COUNTA($B$8:B18)+1</f>
        <v>10</v>
      </c>
      <c r="C19" s="131">
        <v>0</v>
      </c>
      <c r="D19" s="33"/>
      <c r="E19" s="33"/>
      <c r="F19" s="33"/>
      <c r="G19" s="33"/>
      <c r="H19" s="33"/>
      <c r="I19" s="33"/>
      <c r="J19" s="33"/>
      <c r="K19" s="33"/>
      <c r="L19" s="33"/>
      <c r="M19" s="33"/>
      <c r="N19" s="157"/>
      <c r="O19" s="33"/>
      <c r="P19" s="33"/>
      <c r="Q19" s="157"/>
      <c r="R19" s="33"/>
      <c r="S19" s="33"/>
      <c r="T19" s="157"/>
      <c r="U19" s="33"/>
      <c r="V19" s="33"/>
      <c r="W19" s="56"/>
    </row>
    <row r="20" spans="1:23" ht="20.25">
      <c r="A20" s="14" t="s">
        <v>23</v>
      </c>
      <c r="B20" s="4">
        <f>COUNTA($B$8:B19)+1</f>
        <v>11</v>
      </c>
      <c r="C20" s="132">
        <v>0</v>
      </c>
      <c r="D20" s="34">
        <v>0</v>
      </c>
      <c r="E20" s="34">
        <v>0</v>
      </c>
      <c r="F20" s="34">
        <v>0</v>
      </c>
      <c r="G20" s="34">
        <v>0</v>
      </c>
      <c r="H20" s="34">
        <v>0</v>
      </c>
      <c r="I20" s="34">
        <v>0</v>
      </c>
      <c r="J20" s="34">
        <v>0</v>
      </c>
      <c r="K20" s="34">
        <v>0</v>
      </c>
      <c r="L20" s="34">
        <v>0</v>
      </c>
      <c r="M20" s="34">
        <v>0</v>
      </c>
      <c r="N20" s="158">
        <v>0</v>
      </c>
      <c r="O20" s="34">
        <v>0</v>
      </c>
      <c r="P20" s="34">
        <v>0</v>
      </c>
      <c r="Q20" s="158">
        <v>0</v>
      </c>
      <c r="R20" s="34">
        <v>0</v>
      </c>
      <c r="S20" s="34">
        <v>0</v>
      </c>
      <c r="T20" s="158">
        <v>0</v>
      </c>
      <c r="U20" s="34">
        <v>0</v>
      </c>
      <c r="V20" s="34">
        <v>0</v>
      </c>
      <c r="W20" s="57">
        <v>0</v>
      </c>
    </row>
    <row r="21" spans="1:23" ht="17.649999999999999">
      <c r="A21" s="9" t="s">
        <v>18</v>
      </c>
      <c r="B21" s="10">
        <f>COUNTA($B$8:B20)+1</f>
        <v>12</v>
      </c>
      <c r="C21" s="130">
        <f t="shared" ref="C21" si="8">SUM(C18:C20)</f>
        <v>3002885.8048539828</v>
      </c>
      <c r="D21" s="31">
        <f t="shared" ref="D21:W21" si="9">SUM(D18:D20)</f>
        <v>149527.57848056729</v>
      </c>
      <c r="E21" s="31">
        <f t="shared" si="9"/>
        <v>187515.00627342425</v>
      </c>
      <c r="F21" s="31">
        <f t="shared" si="9"/>
        <v>130861.03450841487</v>
      </c>
      <c r="G21" s="31">
        <f t="shared" si="9"/>
        <v>229383.49759073072</v>
      </c>
      <c r="H21" s="31">
        <f t="shared" si="9"/>
        <v>139910.83729206579</v>
      </c>
      <c r="I21" s="31">
        <f t="shared" si="9"/>
        <v>106072.93313927422</v>
      </c>
      <c r="J21" s="31">
        <f t="shared" si="9"/>
        <v>139155.64492394199</v>
      </c>
      <c r="K21" s="31">
        <f t="shared" si="9"/>
        <v>212154.46326128469</v>
      </c>
      <c r="L21" s="31">
        <f t="shared" si="9"/>
        <v>190347.49804189117</v>
      </c>
      <c r="M21" s="31">
        <f t="shared" si="9"/>
        <v>151291.77456900218</v>
      </c>
      <c r="N21" s="159">
        <f t="shared" si="9"/>
        <v>1536883.3466833634</v>
      </c>
      <c r="O21" s="31">
        <f t="shared" si="9"/>
        <v>112219.50848101849</v>
      </c>
      <c r="P21" s="31">
        <f t="shared" si="9"/>
        <v>0</v>
      </c>
      <c r="Q21" s="159">
        <f t="shared" si="9"/>
        <v>104960.41392291189</v>
      </c>
      <c r="R21" s="31">
        <f t="shared" si="9"/>
        <v>292218.55463620281</v>
      </c>
      <c r="S21" s="31">
        <f t="shared" si="9"/>
        <v>393954.49508255825</v>
      </c>
      <c r="T21" s="159">
        <f t="shared" si="9"/>
        <v>647947.55172895419</v>
      </c>
      <c r="U21" s="31">
        <f t="shared" si="9"/>
        <v>450091.83957660827</v>
      </c>
      <c r="V21" s="31">
        <f t="shared" si="9"/>
        <v>379962.54767514823</v>
      </c>
      <c r="W21" s="55">
        <f t="shared" si="9"/>
        <v>784550.77229878993</v>
      </c>
    </row>
    <row r="22" spans="1:23" ht="17.649999999999999">
      <c r="A22" s="9"/>
      <c r="B22" s="3"/>
      <c r="C22" s="130"/>
      <c r="D22" s="30"/>
      <c r="E22" s="30"/>
      <c r="F22" s="30"/>
      <c r="G22" s="30"/>
      <c r="H22" s="30"/>
      <c r="I22" s="30"/>
      <c r="J22" s="30"/>
      <c r="K22" s="30"/>
      <c r="L22" s="30"/>
      <c r="M22" s="30"/>
      <c r="N22" s="155"/>
      <c r="O22" s="30"/>
      <c r="P22" s="30"/>
      <c r="Q22" s="155"/>
      <c r="R22" s="30"/>
      <c r="S22" s="30"/>
      <c r="T22" s="155"/>
      <c r="U22" s="30"/>
      <c r="V22" s="30"/>
      <c r="W22" s="54"/>
    </row>
    <row r="23" spans="1:23" ht="18" thickBot="1">
      <c r="A23" s="18" t="s">
        <v>163</v>
      </c>
      <c r="B23" s="10">
        <f>COUNTA($B$8:B22)+1</f>
        <v>13</v>
      </c>
      <c r="C23" s="133">
        <f>C14-C21</f>
        <v>79569259.316495597</v>
      </c>
      <c r="D23" s="35">
        <f>D16-D21</f>
        <v>4088661.8835336152</v>
      </c>
      <c r="E23" s="35">
        <f t="shared" ref="E23:W23" si="10">E16-E21</f>
        <v>5000360.1505621821</v>
      </c>
      <c r="F23" s="35">
        <f t="shared" si="10"/>
        <v>3640664.8282019566</v>
      </c>
      <c r="G23" s="35">
        <f t="shared" si="10"/>
        <v>6005203.9421775369</v>
      </c>
      <c r="H23" s="35">
        <f t="shared" si="10"/>
        <v>3857860.0950095784</v>
      </c>
      <c r="I23" s="35">
        <f t="shared" si="10"/>
        <v>3045750.395342581</v>
      </c>
      <c r="J23" s="35">
        <f t="shared" si="10"/>
        <v>3839735.4781746077</v>
      </c>
      <c r="K23" s="35">
        <f t="shared" si="10"/>
        <v>5591707.1182708321</v>
      </c>
      <c r="L23" s="35">
        <f t="shared" si="10"/>
        <v>5068339.9530053874</v>
      </c>
      <c r="M23" s="35">
        <f t="shared" si="10"/>
        <v>4131002.5896560522</v>
      </c>
      <c r="N23" s="35">
        <f t="shared" si="10"/>
        <v>41885200.320400722</v>
      </c>
      <c r="O23" s="35">
        <f t="shared" si="10"/>
        <v>3193268.2035444435</v>
      </c>
      <c r="P23" s="35">
        <f t="shared" si="10"/>
        <v>0</v>
      </c>
      <c r="Q23" s="35">
        <f t="shared" si="10"/>
        <v>3019049.9341498851</v>
      </c>
      <c r="R23" s="35">
        <f t="shared" si="10"/>
        <v>7513245.3112688679</v>
      </c>
      <c r="S23" s="35">
        <f t="shared" si="10"/>
        <v>9954907.881981397</v>
      </c>
      <c r="T23" s="35">
        <f t="shared" si="10"/>
        <v>16550741.2414949</v>
      </c>
      <c r="U23" s="35">
        <f t="shared" si="10"/>
        <v>11302204.149838598</v>
      </c>
      <c r="V23" s="35">
        <f t="shared" si="10"/>
        <v>9619101.1442035586</v>
      </c>
      <c r="W23" s="35">
        <f t="shared" si="10"/>
        <v>19829218.535170957</v>
      </c>
    </row>
    <row r="24" spans="1:23" ht="18" thickTop="1">
      <c r="A24" s="9" t="s">
        <v>14</v>
      </c>
      <c r="B24" s="10">
        <f>COUNTA($B$8:B23)+1</f>
        <v>14</v>
      </c>
      <c r="C24" s="130">
        <f t="shared" ref="C24:W24" si="11">C23/C31</f>
        <v>11947.372111702378</v>
      </c>
      <c r="D24" s="31">
        <f t="shared" si="11"/>
        <v>14808.626887119213</v>
      </c>
      <c r="E24" s="31">
        <f t="shared" si="11"/>
        <v>14157.305069541851</v>
      </c>
      <c r="F24" s="31">
        <f t="shared" si="11"/>
        <v>15221.443382398013</v>
      </c>
      <c r="G24" s="31">
        <f t="shared" si="11"/>
        <v>13654.397321913453</v>
      </c>
      <c r="H24" s="31">
        <f t="shared" si="11"/>
        <v>15035.700736649695</v>
      </c>
      <c r="I24" s="31">
        <f t="shared" si="11"/>
        <v>15781.090131308709</v>
      </c>
      <c r="J24" s="31">
        <f t="shared" si="11"/>
        <v>15054.83426063363</v>
      </c>
      <c r="K24" s="31">
        <f t="shared" si="11"/>
        <v>13863.163798861613</v>
      </c>
      <c r="L24" s="31">
        <f t="shared" si="11"/>
        <v>14119.905148364362</v>
      </c>
      <c r="M24" s="31">
        <f t="shared" si="11"/>
        <v>14770.461204433825</v>
      </c>
      <c r="N24" s="159">
        <f t="shared" si="11"/>
        <v>13710.870218044096</v>
      </c>
      <c r="O24" s="31">
        <f t="shared" si="11"/>
        <v>15618.8222232548</v>
      </c>
      <c r="P24" s="31" t="e">
        <f t="shared" si="11"/>
        <v>#DIV/0!</v>
      </c>
      <c r="Q24" s="159">
        <f t="shared" si="11"/>
        <v>14766.690800439645</v>
      </c>
      <c r="R24" s="31">
        <f t="shared" si="11"/>
        <v>13118.073316459244</v>
      </c>
      <c r="S24" s="31">
        <f t="shared" si="11"/>
        <v>12589.197447968887</v>
      </c>
      <c r="T24" s="159">
        <f t="shared" si="11"/>
        <v>12138.513110836822</v>
      </c>
      <c r="U24" s="31">
        <f t="shared" si="11"/>
        <v>12309.62375821055</v>
      </c>
      <c r="V24" s="31">
        <f t="shared" si="11"/>
        <v>12673.554518773051</v>
      </c>
      <c r="W24" s="55">
        <f t="shared" si="11"/>
        <v>11823.163423170829</v>
      </c>
    </row>
    <row r="25" spans="1:23" ht="18" thickBot="1">
      <c r="A25" s="9"/>
      <c r="B25" s="10"/>
      <c r="C25" s="130"/>
      <c r="D25" s="31"/>
      <c r="E25" s="31"/>
      <c r="F25" s="31"/>
      <c r="G25" s="31"/>
      <c r="H25" s="31"/>
      <c r="I25" s="31"/>
      <c r="J25" s="31"/>
      <c r="K25" s="31"/>
      <c r="L25" s="31"/>
      <c r="M25" s="31"/>
      <c r="N25" s="159"/>
      <c r="O25" s="31"/>
      <c r="P25" s="31"/>
      <c r="Q25" s="159"/>
      <c r="R25" s="31"/>
      <c r="S25" s="31"/>
      <c r="T25" s="159"/>
      <c r="U25" s="31"/>
      <c r="V25" s="31"/>
      <c r="W25" s="55"/>
    </row>
    <row r="26" spans="1:23" ht="24.75" thickBot="1">
      <c r="A26" s="21" t="s">
        <v>9</v>
      </c>
      <c r="B26" s="51" t="s">
        <v>1</v>
      </c>
      <c r="C26" s="125" t="s">
        <v>8</v>
      </c>
      <c r="D26" s="52" t="s">
        <v>37</v>
      </c>
      <c r="E26" s="24" t="s">
        <v>38</v>
      </c>
      <c r="F26" s="24" t="s">
        <v>39</v>
      </c>
      <c r="G26" s="24" t="s">
        <v>40</v>
      </c>
      <c r="H26" s="24" t="s">
        <v>42</v>
      </c>
      <c r="I26" s="24" t="s">
        <v>43</v>
      </c>
      <c r="J26" s="24" t="s">
        <v>41</v>
      </c>
      <c r="K26" s="24" t="s">
        <v>44</v>
      </c>
      <c r="L26" s="24" t="s">
        <v>45</v>
      </c>
      <c r="M26" s="72" t="s">
        <v>46</v>
      </c>
      <c r="N26" s="151" t="s">
        <v>47</v>
      </c>
      <c r="O26" s="52" t="str">
        <f>O7</f>
        <v>Eagle Academy</v>
      </c>
      <c r="P26" s="72" t="str">
        <f>P7</f>
        <v>Frontier Charter</v>
      </c>
      <c r="Q26" s="151" t="str">
        <f>Q7</f>
        <v>Total Charter Schools</v>
      </c>
      <c r="R26" s="52" t="s">
        <v>48</v>
      </c>
      <c r="S26" s="72" t="str">
        <f>S7</f>
        <v>Gruening Middle School</v>
      </c>
      <c r="T26" s="151" t="str">
        <f>T7</f>
        <v>Total Middle Schools</v>
      </c>
      <c r="U26" s="52" t="str">
        <f>U7</f>
        <v>Chugiak High School</v>
      </c>
      <c r="V26" s="72" t="str">
        <f>V7</f>
        <v>Eagle River High School</v>
      </c>
      <c r="W26" s="24" t="str">
        <f>W7</f>
        <v>Total High Schools</v>
      </c>
    </row>
    <row r="27" spans="1:23" ht="18">
      <c r="A27" s="17" t="s">
        <v>5</v>
      </c>
      <c r="B27" s="4">
        <f>B24+1</f>
        <v>15</v>
      </c>
      <c r="C27" s="175">
        <f>'Revenue Estimates'!C4</f>
        <v>6660</v>
      </c>
      <c r="D27" s="36">
        <f t="shared" ref="D27:W27" si="12">C27</f>
        <v>6660</v>
      </c>
      <c r="E27" s="36">
        <f t="shared" si="12"/>
        <v>6660</v>
      </c>
      <c r="F27" s="36">
        <f t="shared" si="12"/>
        <v>6660</v>
      </c>
      <c r="G27" s="36">
        <f t="shared" si="12"/>
        <v>6660</v>
      </c>
      <c r="H27" s="36">
        <f t="shared" si="12"/>
        <v>6660</v>
      </c>
      <c r="I27" s="36">
        <f t="shared" si="12"/>
        <v>6660</v>
      </c>
      <c r="J27" s="36">
        <f t="shared" si="12"/>
        <v>6660</v>
      </c>
      <c r="K27" s="36">
        <f t="shared" si="12"/>
        <v>6660</v>
      </c>
      <c r="L27" s="36">
        <f t="shared" si="12"/>
        <v>6660</v>
      </c>
      <c r="M27" s="36">
        <f>L27</f>
        <v>6660</v>
      </c>
      <c r="N27" s="160">
        <f t="shared" si="12"/>
        <v>6660</v>
      </c>
      <c r="O27" s="36">
        <f t="shared" si="12"/>
        <v>6660</v>
      </c>
      <c r="P27" s="36">
        <f t="shared" si="12"/>
        <v>6660</v>
      </c>
      <c r="Q27" s="160">
        <f t="shared" si="12"/>
        <v>6660</v>
      </c>
      <c r="R27" s="36">
        <f t="shared" si="12"/>
        <v>6660</v>
      </c>
      <c r="S27" s="36">
        <f t="shared" si="12"/>
        <v>6660</v>
      </c>
      <c r="T27" s="160">
        <f t="shared" si="12"/>
        <v>6660</v>
      </c>
      <c r="U27" s="36">
        <f t="shared" si="12"/>
        <v>6660</v>
      </c>
      <c r="V27" s="36">
        <f t="shared" si="12"/>
        <v>6660</v>
      </c>
      <c r="W27" s="58">
        <f t="shared" si="12"/>
        <v>6660</v>
      </c>
    </row>
    <row r="28" spans="1:23" ht="18">
      <c r="A28" s="17" t="s">
        <v>35</v>
      </c>
      <c r="B28" s="4">
        <v>17</v>
      </c>
      <c r="C28" s="134">
        <f>SUM(N28,Q28,T28,W28)</f>
        <v>6299.98</v>
      </c>
      <c r="D28" s="37">
        <v>276.10000000000002</v>
      </c>
      <c r="E28" s="37">
        <v>353.2</v>
      </c>
      <c r="F28" s="37">
        <v>239.18</v>
      </c>
      <c r="G28" s="37">
        <v>439.8</v>
      </c>
      <c r="H28" s="37">
        <v>256.58</v>
      </c>
      <c r="I28" s="37">
        <v>193</v>
      </c>
      <c r="J28" s="37">
        <v>255.05</v>
      </c>
      <c r="K28" s="37">
        <v>403.35</v>
      </c>
      <c r="L28" s="37">
        <v>358.95</v>
      </c>
      <c r="M28" s="37">
        <v>279.68</v>
      </c>
      <c r="N28" s="161">
        <f>SUM(D28:M28)</f>
        <v>3054.8899999999994</v>
      </c>
      <c r="O28" s="37">
        <v>204.45</v>
      </c>
      <c r="P28" s="37">
        <v>0</v>
      </c>
      <c r="Q28" s="161">
        <f>SUM(O28+P28)</f>
        <v>204.45</v>
      </c>
      <c r="R28" s="37">
        <v>572.74</v>
      </c>
      <c r="S28" s="37">
        <v>790.75</v>
      </c>
      <c r="T28" s="161">
        <f>SUM(R28+S28)</f>
        <v>1363.49</v>
      </c>
      <c r="U28" s="37">
        <v>918.16</v>
      </c>
      <c r="V28" s="37">
        <v>758.99</v>
      </c>
      <c r="W28" s="37">
        <f>SUM(U28+V28)</f>
        <v>1677.15</v>
      </c>
    </row>
    <row r="29" spans="1:23" ht="18">
      <c r="A29" s="17" t="s">
        <v>167</v>
      </c>
      <c r="B29" s="4">
        <f>COUNTA($B$8:B28)</f>
        <v>17</v>
      </c>
      <c r="C29" s="134">
        <f>ROUND((C28/(1-0.054)-C28),0)</f>
        <v>360</v>
      </c>
      <c r="D29" s="37"/>
      <c r="E29" s="37"/>
      <c r="F29" s="37"/>
      <c r="G29" s="37"/>
      <c r="H29" s="37"/>
      <c r="I29" s="37"/>
      <c r="J29" s="37"/>
      <c r="K29" s="37"/>
      <c r="L29" s="37"/>
      <c r="M29" s="37"/>
      <c r="N29" s="162"/>
      <c r="O29" s="37"/>
      <c r="P29" s="37"/>
      <c r="Q29" s="162"/>
      <c r="R29" s="37"/>
      <c r="S29" s="37"/>
      <c r="T29" s="162"/>
      <c r="U29" s="37"/>
      <c r="V29" s="37"/>
      <c r="W29" s="59"/>
    </row>
    <row r="30" spans="1:23" ht="18">
      <c r="A30" s="13"/>
      <c r="B30" s="4"/>
      <c r="C30" s="136"/>
      <c r="D30" s="38"/>
      <c r="E30" s="38"/>
      <c r="F30" s="38"/>
      <c r="G30" s="38"/>
      <c r="H30" s="38"/>
      <c r="I30" s="38"/>
      <c r="J30" s="38"/>
      <c r="K30" s="38"/>
      <c r="L30" s="38"/>
      <c r="M30" s="38"/>
      <c r="N30" s="163"/>
      <c r="O30" s="38"/>
      <c r="P30" s="38"/>
      <c r="Q30" s="163"/>
      <c r="R30" s="38"/>
      <c r="S30" s="38"/>
      <c r="T30" s="163"/>
      <c r="U30" s="38"/>
      <c r="V30" s="38"/>
      <c r="W30" s="60"/>
    </row>
    <row r="31" spans="1:23" ht="18">
      <c r="A31" s="13" t="s">
        <v>7</v>
      </c>
      <c r="B31" s="4">
        <f>COUNTA($B$8:B30)</f>
        <v>18</v>
      </c>
      <c r="C31" s="137">
        <f>C28+C29</f>
        <v>6659.98</v>
      </c>
      <c r="D31" s="39">
        <f t="shared" ref="D31:E31" si="13">D28+D29</f>
        <v>276.10000000000002</v>
      </c>
      <c r="E31" s="39">
        <f t="shared" si="13"/>
        <v>353.2</v>
      </c>
      <c r="F31" s="39">
        <f t="shared" ref="F31:W31" si="14">F28+F29</f>
        <v>239.18</v>
      </c>
      <c r="G31" s="39">
        <f t="shared" si="14"/>
        <v>439.8</v>
      </c>
      <c r="H31" s="39">
        <f t="shared" si="14"/>
        <v>256.58</v>
      </c>
      <c r="I31" s="39">
        <f t="shared" si="14"/>
        <v>193</v>
      </c>
      <c r="J31" s="39">
        <f t="shared" si="14"/>
        <v>255.05</v>
      </c>
      <c r="K31" s="39">
        <f t="shared" si="14"/>
        <v>403.35</v>
      </c>
      <c r="L31" s="39">
        <f t="shared" si="14"/>
        <v>358.95</v>
      </c>
      <c r="M31" s="39">
        <f t="shared" si="14"/>
        <v>279.68</v>
      </c>
      <c r="N31" s="164">
        <f t="shared" si="14"/>
        <v>3054.8899999999994</v>
      </c>
      <c r="O31" s="39">
        <f t="shared" si="14"/>
        <v>204.45</v>
      </c>
      <c r="P31" s="39">
        <f t="shared" si="14"/>
        <v>0</v>
      </c>
      <c r="Q31" s="164">
        <f t="shared" si="14"/>
        <v>204.45</v>
      </c>
      <c r="R31" s="39">
        <f t="shared" si="14"/>
        <v>572.74</v>
      </c>
      <c r="S31" s="39">
        <f t="shared" si="14"/>
        <v>790.75</v>
      </c>
      <c r="T31" s="164">
        <f t="shared" si="14"/>
        <v>1363.49</v>
      </c>
      <c r="U31" s="39">
        <f t="shared" si="14"/>
        <v>918.16</v>
      </c>
      <c r="V31" s="39">
        <f t="shared" si="14"/>
        <v>758.99</v>
      </c>
      <c r="W31" s="61">
        <f t="shared" si="14"/>
        <v>1677.15</v>
      </c>
    </row>
    <row r="32" spans="1:23" ht="18">
      <c r="A32" s="13"/>
      <c r="B32" s="4"/>
      <c r="C32" s="136"/>
      <c r="D32" s="38"/>
      <c r="E32" s="38"/>
      <c r="F32" s="38"/>
      <c r="G32" s="38"/>
      <c r="H32" s="38"/>
      <c r="I32" s="38"/>
      <c r="J32" s="38"/>
      <c r="K32" s="38"/>
      <c r="L32" s="38"/>
      <c r="M32" s="38"/>
      <c r="N32" s="163"/>
      <c r="O32" s="38"/>
      <c r="P32" s="38"/>
      <c r="Q32" s="163"/>
      <c r="R32" s="38"/>
      <c r="S32" s="38"/>
      <c r="T32" s="163"/>
      <c r="U32" s="38"/>
      <c r="V32" s="38"/>
      <c r="W32" s="60"/>
    </row>
    <row r="33" spans="1:23" ht="18">
      <c r="A33" s="13" t="s">
        <v>6</v>
      </c>
      <c r="B33" s="4">
        <f>COUNTA($B$8:B32)</f>
        <v>19</v>
      </c>
      <c r="C33" s="136">
        <f t="shared" ref="C33:W33" si="15">C28</f>
        <v>6299.98</v>
      </c>
      <c r="D33" s="38">
        <f t="shared" si="15"/>
        <v>276.10000000000002</v>
      </c>
      <c r="E33" s="38">
        <f t="shared" si="15"/>
        <v>353.2</v>
      </c>
      <c r="F33" s="38">
        <f t="shared" si="15"/>
        <v>239.18</v>
      </c>
      <c r="G33" s="38">
        <f t="shared" si="15"/>
        <v>439.8</v>
      </c>
      <c r="H33" s="38">
        <f t="shared" si="15"/>
        <v>256.58</v>
      </c>
      <c r="I33" s="38">
        <f t="shared" si="15"/>
        <v>193</v>
      </c>
      <c r="J33" s="38">
        <f t="shared" si="15"/>
        <v>255.05</v>
      </c>
      <c r="K33" s="38">
        <f t="shared" si="15"/>
        <v>403.35</v>
      </c>
      <c r="L33" s="38">
        <f t="shared" si="15"/>
        <v>358.95</v>
      </c>
      <c r="M33" s="38">
        <f t="shared" si="15"/>
        <v>279.68</v>
      </c>
      <c r="N33" s="163">
        <f t="shared" si="15"/>
        <v>3054.8899999999994</v>
      </c>
      <c r="O33" s="38">
        <f t="shared" si="15"/>
        <v>204.45</v>
      </c>
      <c r="P33" s="38">
        <f t="shared" si="15"/>
        <v>0</v>
      </c>
      <c r="Q33" s="163">
        <f t="shared" si="15"/>
        <v>204.45</v>
      </c>
      <c r="R33" s="38">
        <f t="shared" si="15"/>
        <v>572.74</v>
      </c>
      <c r="S33" s="38">
        <f t="shared" si="15"/>
        <v>790.75</v>
      </c>
      <c r="T33" s="163">
        <f t="shared" si="15"/>
        <v>1363.49</v>
      </c>
      <c r="U33" s="38">
        <f t="shared" si="15"/>
        <v>918.16</v>
      </c>
      <c r="V33" s="38">
        <f t="shared" si="15"/>
        <v>758.99</v>
      </c>
      <c r="W33" s="60">
        <f t="shared" si="15"/>
        <v>1677.15</v>
      </c>
    </row>
    <row r="34" spans="1:23" ht="18">
      <c r="A34" s="13"/>
      <c r="B34" s="4"/>
      <c r="C34" s="138">
        <v>1.1272978331715453</v>
      </c>
      <c r="D34" s="15">
        <f t="shared" ref="D34:W34" si="16">D35/D33</f>
        <v>1.2727888446215139</v>
      </c>
      <c r="E34" s="15">
        <f t="shared" si="16"/>
        <v>1.2066930917327294</v>
      </c>
      <c r="F34" s="15">
        <f t="shared" si="16"/>
        <v>1.3145513838949745</v>
      </c>
      <c r="G34" s="15">
        <f t="shared" si="16"/>
        <v>1.1555616189176898</v>
      </c>
      <c r="H34" s="15">
        <f t="shared" si="16"/>
        <v>1.2958243043105464</v>
      </c>
      <c r="I34" s="15">
        <f t="shared" si="16"/>
        <v>1.3706735751295338</v>
      </c>
      <c r="J34" s="15">
        <f t="shared" si="16"/>
        <v>1.2977788668888455</v>
      </c>
      <c r="K34" s="15">
        <f t="shared" si="16"/>
        <v>1.1768488905417132</v>
      </c>
      <c r="L34" s="15">
        <f t="shared" si="16"/>
        <v>1.2029015183173144</v>
      </c>
      <c r="M34" s="15">
        <f t="shared" si="16"/>
        <v>1.2689130434782609</v>
      </c>
      <c r="N34" s="165">
        <f t="shared" si="16"/>
        <v>1.240511311372914</v>
      </c>
      <c r="O34" s="15">
        <f t="shared" si="16"/>
        <v>1.3543947175348496</v>
      </c>
      <c r="P34" s="15" t="e">
        <f t="shared" si="16"/>
        <v>#DIV/0!</v>
      </c>
      <c r="Q34" s="165">
        <f t="shared" si="16"/>
        <v>1.3543947175348496</v>
      </c>
      <c r="R34" s="15">
        <f t="shared" si="16"/>
        <v>1.1008848692251283</v>
      </c>
      <c r="S34" s="15">
        <f t="shared" si="16"/>
        <v>1.0468921909579514</v>
      </c>
      <c r="T34" s="165">
        <f t="shared" si="16"/>
        <v>1.0695720540671367</v>
      </c>
      <c r="U34" s="15">
        <f t="shared" si="16"/>
        <v>1.0181824518602423</v>
      </c>
      <c r="V34" s="15">
        <f t="shared" si="16"/>
        <v>1.0555496119843477</v>
      </c>
      <c r="W34" s="77">
        <f t="shared" si="16"/>
        <v>1.0350928658736547</v>
      </c>
    </row>
    <row r="35" spans="1:23" ht="18">
      <c r="A35" s="13" t="s">
        <v>4</v>
      </c>
      <c r="B35" s="4">
        <f>COUNTA($B$8:B34)</f>
        <v>20</v>
      </c>
      <c r="C35" s="135">
        <f>SUM(N35,Q35,T35,W35)</f>
        <v>7260.8883999999998</v>
      </c>
      <c r="D35" s="40">
        <f t="shared" ref="D35:M35" si="17">IF(D28&lt;=150,D28*1.45,IF(D28&lt;=249,218.1+(1.08*(D28-150)),IF(D28&lt;=399,326.1+(0.97*(D28-250)),IF(D28&lt;=749,471.6+(0.92*(D28-400)),IF(D28&gt;=750,793.6+(0.84*(D28-750)),0)))))</f>
        <v>351.41700000000003</v>
      </c>
      <c r="E35" s="40">
        <f t="shared" si="17"/>
        <v>426.20400000000001</v>
      </c>
      <c r="F35" s="40">
        <f t="shared" si="17"/>
        <v>314.4144</v>
      </c>
      <c r="G35" s="40">
        <f t="shared" si="17"/>
        <v>508.21600000000001</v>
      </c>
      <c r="H35" s="40">
        <f t="shared" si="17"/>
        <v>332.48259999999999</v>
      </c>
      <c r="I35" s="40">
        <f t="shared" si="17"/>
        <v>264.54000000000002</v>
      </c>
      <c r="J35" s="40">
        <f t="shared" si="17"/>
        <v>330.99850000000004</v>
      </c>
      <c r="K35" s="40">
        <f t="shared" si="17"/>
        <v>474.68200000000002</v>
      </c>
      <c r="L35" s="40">
        <f t="shared" si="17"/>
        <v>431.78149999999999</v>
      </c>
      <c r="M35" s="40">
        <f t="shared" si="17"/>
        <v>354.88960000000003</v>
      </c>
      <c r="N35" s="162">
        <f>SUM(D35:M35)</f>
        <v>3789.6256000000008</v>
      </c>
      <c r="O35" s="40">
        <f t="shared" ref="O35:V35" si="18">IF(O28&lt;=150,O28*1.45,IF(O28&lt;=249,218.1+(1.08*(O28-150)),IF(O28&lt;=399,326.1+(0.97*(O28-250)),IF(O28&lt;=749,471.6+(0.92*(O28-400)),IF(O28&gt;=750,793.6+(0.84*(O28-750)),0)))))</f>
        <v>276.90600000000001</v>
      </c>
      <c r="P35" s="40">
        <f t="shared" si="18"/>
        <v>0</v>
      </c>
      <c r="Q35" s="166">
        <f>P35+O35</f>
        <v>276.90600000000001</v>
      </c>
      <c r="R35" s="40">
        <f t="shared" si="18"/>
        <v>630.52080000000001</v>
      </c>
      <c r="S35" s="40">
        <f t="shared" si="18"/>
        <v>827.83</v>
      </c>
      <c r="T35" s="166">
        <f>SUM(R35:S35)</f>
        <v>1458.3508000000002</v>
      </c>
      <c r="U35" s="40">
        <f t="shared" si="18"/>
        <v>934.85439999999994</v>
      </c>
      <c r="V35" s="40">
        <f t="shared" si="18"/>
        <v>801.15160000000003</v>
      </c>
      <c r="W35" s="62">
        <f>SUM(U35:V35)</f>
        <v>1736.0059999999999</v>
      </c>
    </row>
    <row r="36" spans="1:23" ht="18" hidden="1">
      <c r="A36" s="13"/>
      <c r="B36" s="4"/>
      <c r="C36" s="139"/>
      <c r="D36" s="40"/>
      <c r="E36" s="40"/>
      <c r="F36" s="40"/>
      <c r="G36" s="40"/>
      <c r="H36" s="40"/>
      <c r="I36" s="40"/>
      <c r="J36" s="40"/>
      <c r="K36" s="40"/>
      <c r="L36" s="40"/>
      <c r="M36" s="40"/>
      <c r="N36" s="166"/>
      <c r="O36" s="40"/>
      <c r="P36" s="40"/>
      <c r="Q36" s="166"/>
      <c r="R36" s="40"/>
      <c r="S36" s="40"/>
      <c r="T36" s="166"/>
      <c r="U36" s="40"/>
      <c r="V36" s="40"/>
      <c r="W36" s="62"/>
    </row>
    <row r="37" spans="1:23" ht="18" hidden="1">
      <c r="A37" s="16" t="s">
        <v>24</v>
      </c>
      <c r="B37" s="4" t="s">
        <v>27</v>
      </c>
      <c r="C37" s="140">
        <v>49610.25</v>
      </c>
      <c r="D37" s="41">
        <v>373.09649999999999</v>
      </c>
      <c r="E37" s="41">
        <v>373.09649999999999</v>
      </c>
      <c r="F37" s="41">
        <v>373.09649999999999</v>
      </c>
      <c r="G37" s="41">
        <v>373.09649999999999</v>
      </c>
      <c r="H37" s="41">
        <v>373.09649999999999</v>
      </c>
      <c r="I37" s="41">
        <v>373.09649999999999</v>
      </c>
      <c r="J37" s="41">
        <v>373.09649999999999</v>
      </c>
      <c r="K37" s="41">
        <v>373.09649999999999</v>
      </c>
      <c r="L37" s="41">
        <v>373.09649999999999</v>
      </c>
      <c r="M37" s="41">
        <v>373.09649999999999</v>
      </c>
      <c r="N37" s="167">
        <v>373.09649999999999</v>
      </c>
      <c r="O37" s="41">
        <v>373.09649999999999</v>
      </c>
      <c r="P37" s="41">
        <v>373.09649999999999</v>
      </c>
      <c r="Q37" s="167">
        <v>373.09649999999999</v>
      </c>
      <c r="R37" s="41">
        <v>373.09649999999999</v>
      </c>
      <c r="S37" s="41">
        <v>373.09649999999999</v>
      </c>
      <c r="T37" s="167">
        <v>373.09649999999999</v>
      </c>
      <c r="U37" s="41">
        <v>373.09649999999999</v>
      </c>
      <c r="V37" s="41">
        <v>373.09649999999999</v>
      </c>
      <c r="W37" s="63">
        <v>373.09649999999999</v>
      </c>
    </row>
    <row r="38" spans="1:23" ht="18" hidden="1">
      <c r="A38" s="16" t="s">
        <v>25</v>
      </c>
      <c r="B38" s="4" t="s">
        <v>28</v>
      </c>
      <c r="C38" s="141">
        <f t="shared" ref="C38:W38" si="19">ROUND((C35-C37)/C35,4)</f>
        <v>-5.8324999999999996</v>
      </c>
      <c r="D38" s="42">
        <f t="shared" si="19"/>
        <v>-6.1699999999999998E-2</v>
      </c>
      <c r="E38" s="42">
        <f t="shared" si="19"/>
        <v>0.1246</v>
      </c>
      <c r="F38" s="42">
        <f t="shared" si="19"/>
        <v>-0.18659999999999999</v>
      </c>
      <c r="G38" s="42">
        <f t="shared" si="19"/>
        <v>0.26590000000000003</v>
      </c>
      <c r="H38" s="42">
        <f t="shared" si="19"/>
        <v>-0.1222</v>
      </c>
      <c r="I38" s="42">
        <f t="shared" si="19"/>
        <v>-0.41039999999999999</v>
      </c>
      <c r="J38" s="42">
        <f t="shared" si="19"/>
        <v>-0.12720000000000001</v>
      </c>
      <c r="K38" s="42">
        <f t="shared" si="19"/>
        <v>0.214</v>
      </c>
      <c r="L38" s="42">
        <f t="shared" si="19"/>
        <v>0.13589999999999999</v>
      </c>
      <c r="M38" s="42">
        <f t="shared" si="19"/>
        <v>-5.1299999999999998E-2</v>
      </c>
      <c r="N38" s="168">
        <f t="shared" si="19"/>
        <v>0.90149999999999997</v>
      </c>
      <c r="O38" s="42">
        <f t="shared" si="19"/>
        <v>-0.34739999999999999</v>
      </c>
      <c r="P38" s="42" t="e">
        <f t="shared" si="19"/>
        <v>#DIV/0!</v>
      </c>
      <c r="Q38" s="168">
        <f t="shared" si="19"/>
        <v>-0.34739999999999999</v>
      </c>
      <c r="R38" s="42">
        <f t="shared" si="19"/>
        <v>0.4083</v>
      </c>
      <c r="S38" s="42">
        <f t="shared" si="19"/>
        <v>0.54930000000000001</v>
      </c>
      <c r="T38" s="168">
        <f t="shared" si="19"/>
        <v>0.74419999999999997</v>
      </c>
      <c r="U38" s="42">
        <f t="shared" si="19"/>
        <v>0.60089999999999999</v>
      </c>
      <c r="V38" s="42">
        <f t="shared" si="19"/>
        <v>0.5343</v>
      </c>
      <c r="W38" s="64">
        <f t="shared" si="19"/>
        <v>0.78510000000000002</v>
      </c>
    </row>
    <row r="39" spans="1:23" ht="18" hidden="1">
      <c r="A39" s="16" t="s">
        <v>26</v>
      </c>
      <c r="B39" s="4" t="s">
        <v>29</v>
      </c>
      <c r="C39" s="140"/>
      <c r="D39" s="41"/>
      <c r="E39" s="41"/>
      <c r="F39" s="41"/>
      <c r="G39" s="41"/>
      <c r="H39" s="41"/>
      <c r="I39" s="41"/>
      <c r="J39" s="41"/>
      <c r="K39" s="41"/>
      <c r="L39" s="41"/>
      <c r="M39" s="41"/>
      <c r="N39" s="167"/>
      <c r="O39" s="41"/>
      <c r="P39" s="41"/>
      <c r="Q39" s="167"/>
      <c r="R39" s="41"/>
      <c r="S39" s="41"/>
      <c r="T39" s="167"/>
      <c r="U39" s="41"/>
      <c r="V39" s="41"/>
      <c r="W39" s="63"/>
    </row>
    <row r="40" spans="1:23" ht="18">
      <c r="A40" s="13"/>
      <c r="B40" s="4"/>
      <c r="C40" s="136"/>
      <c r="D40" s="27"/>
      <c r="E40" s="27"/>
      <c r="F40" s="27"/>
      <c r="G40" s="27"/>
      <c r="H40" s="27"/>
      <c r="I40" s="27"/>
      <c r="J40" s="27"/>
      <c r="K40" s="27"/>
      <c r="L40" s="27"/>
      <c r="M40" s="27"/>
      <c r="N40" s="169"/>
      <c r="O40" s="27"/>
      <c r="P40" s="27"/>
      <c r="Q40" s="169"/>
      <c r="R40" s="27"/>
      <c r="S40" s="27"/>
      <c r="T40" s="169"/>
      <c r="U40" s="27"/>
      <c r="V40" s="27"/>
      <c r="W40" s="53"/>
    </row>
    <row r="41" spans="1:23" ht="18">
      <c r="A41" s="13" t="s">
        <v>169</v>
      </c>
      <c r="B41" s="4">
        <f>COUNTA($B$8:B40)</f>
        <v>24</v>
      </c>
      <c r="C41" s="136">
        <f>C35*1.07</f>
        <v>7769.1505880000004</v>
      </c>
      <c r="D41" s="40">
        <f>D35*1.07</f>
        <v>376.01619000000005</v>
      </c>
      <c r="E41" s="40">
        <f t="shared" ref="E41:M41" si="20">E35*1.07</f>
        <v>456.03828000000004</v>
      </c>
      <c r="F41" s="40">
        <f t="shared" si="20"/>
        <v>336.42340799999999</v>
      </c>
      <c r="G41" s="40">
        <f t="shared" si="20"/>
        <v>543.79112000000009</v>
      </c>
      <c r="H41" s="40">
        <f t="shared" si="20"/>
        <v>355.75638200000003</v>
      </c>
      <c r="I41" s="40">
        <f t="shared" si="20"/>
        <v>283.05780000000004</v>
      </c>
      <c r="J41" s="40">
        <f t="shared" si="20"/>
        <v>354.16839500000003</v>
      </c>
      <c r="K41" s="40">
        <f t="shared" si="20"/>
        <v>507.90974000000006</v>
      </c>
      <c r="L41" s="40">
        <f t="shared" si="20"/>
        <v>462.00620500000002</v>
      </c>
      <c r="M41" s="40">
        <f t="shared" si="20"/>
        <v>379.73187200000007</v>
      </c>
      <c r="N41" s="169"/>
      <c r="O41" s="40">
        <f>O35*1.07</f>
        <v>296.28942000000001</v>
      </c>
      <c r="P41" s="40">
        <f>P35*1.07</f>
        <v>0</v>
      </c>
      <c r="Q41" s="169"/>
      <c r="R41" s="40">
        <f>R35*1.07</f>
        <v>674.65725600000007</v>
      </c>
      <c r="S41" s="40">
        <f>S35*1.07</f>
        <v>885.77810000000011</v>
      </c>
      <c r="T41" s="169"/>
      <c r="U41" s="40">
        <f t="shared" ref="U41:V41" si="21">U35*1.07</f>
        <v>1000.294208</v>
      </c>
      <c r="V41" s="40">
        <f t="shared" si="21"/>
        <v>857.23221200000012</v>
      </c>
      <c r="W41" s="53"/>
    </row>
    <row r="42" spans="1:23" ht="18">
      <c r="A42" s="13"/>
      <c r="B42" s="195">
        <f>C35*0.2</f>
        <v>1452.17768</v>
      </c>
      <c r="C42" s="136"/>
      <c r="D42" s="27"/>
      <c r="E42" s="27"/>
      <c r="F42" s="27"/>
      <c r="G42" s="27"/>
      <c r="H42" s="27"/>
      <c r="I42" s="27"/>
      <c r="J42" s="27"/>
      <c r="K42" s="27"/>
      <c r="L42" s="27"/>
      <c r="M42" s="27"/>
      <c r="N42" s="169"/>
      <c r="O42" s="27"/>
      <c r="P42" s="27"/>
      <c r="Q42" s="169"/>
      <c r="R42" s="27"/>
      <c r="S42" s="27"/>
      <c r="T42" s="169"/>
      <c r="U42" s="27"/>
      <c r="V42" s="27"/>
      <c r="W42" s="53"/>
    </row>
    <row r="43" spans="1:23" ht="18">
      <c r="A43" s="13" t="s">
        <v>174</v>
      </c>
      <c r="B43" s="4">
        <f>COUNTA($B$8:B42)</f>
        <v>26</v>
      </c>
      <c r="C43" s="136">
        <f>ROUND((C41)*1.2,2)</f>
        <v>9322.98</v>
      </c>
      <c r="D43" s="40">
        <f>ROUND((D41)*1.2,2)</f>
        <v>451.22</v>
      </c>
      <c r="E43" s="40">
        <f t="shared" ref="E43:M43" si="22">ROUND((E41)*1.2,2)</f>
        <v>547.25</v>
      </c>
      <c r="F43" s="40">
        <f t="shared" si="22"/>
        <v>403.71</v>
      </c>
      <c r="G43" s="40">
        <f t="shared" si="22"/>
        <v>652.54999999999995</v>
      </c>
      <c r="H43" s="40">
        <f t="shared" si="22"/>
        <v>426.91</v>
      </c>
      <c r="I43" s="40">
        <f t="shared" si="22"/>
        <v>339.67</v>
      </c>
      <c r="J43" s="40">
        <f t="shared" si="22"/>
        <v>425</v>
      </c>
      <c r="K43" s="40">
        <f t="shared" si="22"/>
        <v>609.49</v>
      </c>
      <c r="L43" s="40">
        <f t="shared" si="22"/>
        <v>554.41</v>
      </c>
      <c r="M43" s="40">
        <f t="shared" si="22"/>
        <v>455.68</v>
      </c>
      <c r="N43" s="163">
        <f t="shared" ref="N43:Q43" si="23">(N35+N39)*1.2</f>
        <v>4547.5507200000011</v>
      </c>
      <c r="O43" s="40">
        <f t="shared" ref="O43:P43" si="24">ROUND((O41)*1.2,2)</f>
        <v>355.55</v>
      </c>
      <c r="P43" s="40">
        <f t="shared" si="24"/>
        <v>0</v>
      </c>
      <c r="Q43" s="163">
        <f t="shared" si="23"/>
        <v>332.28719999999998</v>
      </c>
      <c r="R43" s="40">
        <f t="shared" ref="R43:S43" si="25">ROUND((R41)*1.2,2)</f>
        <v>809.59</v>
      </c>
      <c r="S43" s="40">
        <f t="shared" si="25"/>
        <v>1062.93</v>
      </c>
      <c r="T43" s="163">
        <f t="shared" ref="T43:W43" si="26">(T35+T39)*1.2</f>
        <v>1750.0209600000001</v>
      </c>
      <c r="U43" s="40">
        <f t="shared" ref="U43:V43" si="27">ROUND((U41)*1.2,2)</f>
        <v>1200.3499999999999</v>
      </c>
      <c r="V43" s="40">
        <f t="shared" si="27"/>
        <v>1028.68</v>
      </c>
      <c r="W43" s="60">
        <f t="shared" si="26"/>
        <v>2083.2071999999998</v>
      </c>
    </row>
    <row r="44" spans="1:23" ht="18">
      <c r="A44" s="13"/>
      <c r="B44" s="195">
        <f>C35*1.2*1.015-C35-B42</f>
        <v>130.69599119999725</v>
      </c>
      <c r="C44" s="136"/>
      <c r="D44" s="38"/>
      <c r="E44" s="38"/>
      <c r="F44" s="38"/>
      <c r="G44" s="38"/>
      <c r="H44" s="38"/>
      <c r="I44" s="38"/>
      <c r="J44" s="38"/>
      <c r="K44" s="38"/>
      <c r="L44" s="38"/>
      <c r="M44" s="38"/>
      <c r="N44" s="163"/>
      <c r="O44" s="38"/>
      <c r="P44" s="38"/>
      <c r="Q44" s="163"/>
      <c r="R44" s="38"/>
      <c r="S44" s="38"/>
      <c r="T44" s="163"/>
      <c r="U44" s="38"/>
      <c r="V44" s="38"/>
      <c r="W44" s="60"/>
    </row>
    <row r="45" spans="1:23" ht="18">
      <c r="A45" s="13" t="s">
        <v>175</v>
      </c>
      <c r="B45" s="4">
        <f>COUNTA($B$8:B44)</f>
        <v>28</v>
      </c>
      <c r="C45" s="136">
        <f>ROUND(C43*1.015,2)</f>
        <v>9462.82</v>
      </c>
      <c r="D45" s="38">
        <f t="shared" ref="D45:W45" si="28">D43*1.015</f>
        <v>457.98829999999998</v>
      </c>
      <c r="E45" s="38">
        <f t="shared" si="28"/>
        <v>555.4587499999999</v>
      </c>
      <c r="F45" s="38">
        <f t="shared" si="28"/>
        <v>409.76564999999994</v>
      </c>
      <c r="G45" s="38">
        <f t="shared" si="28"/>
        <v>662.3382499999999</v>
      </c>
      <c r="H45" s="38">
        <f t="shared" si="28"/>
        <v>433.31365</v>
      </c>
      <c r="I45" s="38">
        <f t="shared" si="28"/>
        <v>344.76504999999997</v>
      </c>
      <c r="J45" s="38">
        <f t="shared" si="28"/>
        <v>431.37499999999994</v>
      </c>
      <c r="K45" s="38">
        <f t="shared" si="28"/>
        <v>618.63234999999997</v>
      </c>
      <c r="L45" s="38">
        <f t="shared" si="28"/>
        <v>562.72614999999996</v>
      </c>
      <c r="M45" s="38">
        <f t="shared" si="28"/>
        <v>462.51519999999994</v>
      </c>
      <c r="N45" s="163">
        <f t="shared" si="28"/>
        <v>4615.7639808000004</v>
      </c>
      <c r="O45" s="38">
        <f t="shared" si="28"/>
        <v>360.88324999999998</v>
      </c>
      <c r="P45" s="38">
        <f t="shared" si="28"/>
        <v>0</v>
      </c>
      <c r="Q45" s="163">
        <f t="shared" si="28"/>
        <v>337.27150799999993</v>
      </c>
      <c r="R45" s="38">
        <f t="shared" si="28"/>
        <v>821.73384999999996</v>
      </c>
      <c r="S45" s="38">
        <f t="shared" si="28"/>
        <v>1078.8739499999999</v>
      </c>
      <c r="T45" s="163">
        <f t="shared" si="28"/>
        <v>1776.2712743999998</v>
      </c>
      <c r="U45" s="38">
        <f t="shared" si="28"/>
        <v>1218.3552499999998</v>
      </c>
      <c r="V45" s="38">
        <f t="shared" si="28"/>
        <v>1044.1102000000001</v>
      </c>
      <c r="W45" s="60">
        <f t="shared" si="28"/>
        <v>2114.4553079999996</v>
      </c>
    </row>
    <row r="46" spans="1:23" ht="18">
      <c r="A46" s="13"/>
      <c r="B46" s="4"/>
      <c r="C46" s="136"/>
      <c r="D46" s="38"/>
      <c r="E46" s="38"/>
      <c r="F46" s="38"/>
      <c r="G46" s="38"/>
      <c r="H46" s="38"/>
      <c r="I46" s="38"/>
      <c r="J46" s="38"/>
      <c r="K46" s="38"/>
      <c r="L46" s="38"/>
      <c r="M46" s="38"/>
      <c r="N46" s="163"/>
      <c r="O46" s="38"/>
      <c r="P46" s="38"/>
      <c r="Q46" s="163"/>
      <c r="R46" s="38"/>
      <c r="S46" s="38"/>
      <c r="T46" s="163"/>
      <c r="U46" s="38"/>
      <c r="V46" s="38"/>
      <c r="W46" s="60"/>
    </row>
    <row r="47" spans="1:23" ht="18">
      <c r="A47" s="17" t="s">
        <v>171</v>
      </c>
      <c r="B47" s="4">
        <f>COUNTA($B$8:B46)</f>
        <v>29</v>
      </c>
      <c r="C47" s="134">
        <f>ROUND(0.0246*C31,0)</f>
        <v>164</v>
      </c>
      <c r="D47" s="37">
        <f>D28/$C$28*$C$47</f>
        <v>7.1873878964695139</v>
      </c>
      <c r="E47" s="37">
        <f t="shared" ref="E47:M47" si="29">E28/$C$28*$C$47</f>
        <v>9.194441887117101</v>
      </c>
      <c r="F47" s="37">
        <f t="shared" si="29"/>
        <v>6.2262927818818472</v>
      </c>
      <c r="G47" s="37">
        <f t="shared" si="29"/>
        <v>11.448798250153176</v>
      </c>
      <c r="H47" s="37">
        <f t="shared" si="29"/>
        <v>6.679246600782859</v>
      </c>
      <c r="I47" s="37">
        <f t="shared" si="29"/>
        <v>5.0241429337870915</v>
      </c>
      <c r="J47" s="37">
        <f t="shared" si="29"/>
        <v>6.6394179029139782</v>
      </c>
      <c r="K47" s="37">
        <f t="shared" si="29"/>
        <v>10.499938095041573</v>
      </c>
      <c r="L47" s="37">
        <f t="shared" si="29"/>
        <v>9.3441249019838164</v>
      </c>
      <c r="M47" s="37">
        <f t="shared" si="29"/>
        <v>7.2805818431169635</v>
      </c>
      <c r="N47" s="161">
        <f>SUM(D47:M47)</f>
        <v>79.524373093247917</v>
      </c>
      <c r="O47" s="37">
        <f t="shared" ref="O47:P47" si="30">O28/$C$28*$C$47</f>
        <v>5.3222073720868952</v>
      </c>
      <c r="P47" s="37">
        <f t="shared" si="30"/>
        <v>0</v>
      </c>
      <c r="Q47" s="37">
        <f>SUM(O47+P47)</f>
        <v>5.3222073720868952</v>
      </c>
      <c r="R47" s="37">
        <f t="shared" ref="R47:S47" si="31">R28/$C$28*$C$47</f>
        <v>14.909469553871601</v>
      </c>
      <c r="S47" s="37">
        <f t="shared" si="31"/>
        <v>20.584668522757216</v>
      </c>
      <c r="T47" s="37">
        <f>SUM(R47+S47)</f>
        <v>35.494138076628815</v>
      </c>
      <c r="U47" s="37">
        <f t="shared" ref="U47:V47" si="32">U28/$C$28*$C$47</f>
        <v>23.901383813916873</v>
      </c>
      <c r="V47" s="37">
        <f t="shared" si="32"/>
        <v>19.75789764411951</v>
      </c>
      <c r="W47" s="37">
        <f>SUM(U47+V47)</f>
        <v>43.659281458036382</v>
      </c>
    </row>
    <row r="48" spans="1:23" ht="18">
      <c r="A48" s="13"/>
      <c r="B48" s="4"/>
      <c r="C48" s="136"/>
      <c r="D48" s="38"/>
      <c r="E48" s="38"/>
      <c r="F48" s="38"/>
      <c r="G48" s="38"/>
      <c r="H48" s="38"/>
      <c r="I48" s="38"/>
      <c r="J48" s="38"/>
      <c r="K48" s="38"/>
      <c r="L48" s="38"/>
      <c r="M48" s="38"/>
      <c r="N48" s="163"/>
      <c r="O48" s="38"/>
      <c r="P48" s="38"/>
      <c r="Q48" s="163"/>
      <c r="R48" s="38"/>
      <c r="S48" s="38"/>
      <c r="T48" s="163"/>
      <c r="U48" s="38"/>
      <c r="V48" s="38"/>
      <c r="W48" s="60"/>
    </row>
    <row r="49" spans="1:23" ht="18">
      <c r="A49" s="13" t="s">
        <v>173</v>
      </c>
      <c r="B49" s="4">
        <f>COUNTA($B$8:B48)</f>
        <v>30</v>
      </c>
      <c r="C49" s="136">
        <f t="shared" ref="C49:W49" si="33">C47*13</f>
        <v>2132</v>
      </c>
      <c r="D49" s="38">
        <f t="shared" si="33"/>
        <v>93.436042654103687</v>
      </c>
      <c r="E49" s="38">
        <f t="shared" si="33"/>
        <v>119.52774453252232</v>
      </c>
      <c r="F49" s="38">
        <f t="shared" si="33"/>
        <v>80.941806164464012</v>
      </c>
      <c r="G49" s="38">
        <f t="shared" si="33"/>
        <v>148.8343772519913</v>
      </c>
      <c r="H49" s="38">
        <f t="shared" si="33"/>
        <v>86.830205810177162</v>
      </c>
      <c r="I49" s="38">
        <f t="shared" si="33"/>
        <v>65.313858139232195</v>
      </c>
      <c r="J49" s="38">
        <f t="shared" si="33"/>
        <v>86.312432737881721</v>
      </c>
      <c r="K49" s="38">
        <f t="shared" si="33"/>
        <v>136.49919523554044</v>
      </c>
      <c r="L49" s="38">
        <f t="shared" si="33"/>
        <v>121.47362372578961</v>
      </c>
      <c r="M49" s="38">
        <f t="shared" si="33"/>
        <v>94.647563960520529</v>
      </c>
      <c r="N49" s="163">
        <f t="shared" si="33"/>
        <v>1033.816850212223</v>
      </c>
      <c r="O49" s="38">
        <f t="shared" si="33"/>
        <v>69.188695837129643</v>
      </c>
      <c r="P49" s="38">
        <f t="shared" si="33"/>
        <v>0</v>
      </c>
      <c r="Q49" s="163">
        <f t="shared" si="33"/>
        <v>69.188695837129643</v>
      </c>
      <c r="R49" s="38">
        <f t="shared" si="33"/>
        <v>193.82310420033082</v>
      </c>
      <c r="S49" s="38">
        <f t="shared" si="33"/>
        <v>267.60069079584383</v>
      </c>
      <c r="T49" s="163">
        <f t="shared" si="33"/>
        <v>461.42379499617459</v>
      </c>
      <c r="U49" s="38">
        <f t="shared" si="33"/>
        <v>310.71798958091932</v>
      </c>
      <c r="V49" s="38">
        <f t="shared" si="33"/>
        <v>256.85266937355362</v>
      </c>
      <c r="W49" s="60">
        <f t="shared" si="33"/>
        <v>567.57065895447295</v>
      </c>
    </row>
    <row r="50" spans="1:23" ht="18">
      <c r="A50" s="13"/>
      <c r="B50" s="4"/>
      <c r="C50" s="136"/>
      <c r="D50" s="38"/>
      <c r="E50" s="38"/>
      <c r="F50" s="38"/>
      <c r="G50" s="38"/>
      <c r="H50" s="38"/>
      <c r="I50" s="38"/>
      <c r="J50" s="38"/>
      <c r="K50" s="38"/>
      <c r="L50" s="38"/>
      <c r="M50" s="38"/>
      <c r="N50" s="163"/>
      <c r="O50" s="38"/>
      <c r="P50" s="38"/>
      <c r="Q50" s="163"/>
      <c r="R50" s="38"/>
      <c r="S50" s="38"/>
      <c r="T50" s="163"/>
      <c r="U50" s="38"/>
      <c r="V50" s="38"/>
      <c r="W50" s="60"/>
    </row>
    <row r="51" spans="1:23" ht="18">
      <c r="A51" s="13" t="s">
        <v>176</v>
      </c>
      <c r="B51" s="4">
        <f>COUNTA($B$8:B50)</f>
        <v>31</v>
      </c>
      <c r="C51" s="136">
        <f t="shared" ref="C51:W51" si="34">C49+C45</f>
        <v>11594.82</v>
      </c>
      <c r="D51" s="38">
        <f t="shared" si="34"/>
        <v>551.42434265410361</v>
      </c>
      <c r="E51" s="38">
        <f t="shared" si="34"/>
        <v>674.98649453252222</v>
      </c>
      <c r="F51" s="38">
        <f t="shared" si="34"/>
        <v>490.70745616446396</v>
      </c>
      <c r="G51" s="38">
        <f t="shared" si="34"/>
        <v>811.17262725199123</v>
      </c>
      <c r="H51" s="38">
        <f t="shared" si="34"/>
        <v>520.14385581017712</v>
      </c>
      <c r="I51" s="38">
        <f t="shared" si="34"/>
        <v>410.07890813923217</v>
      </c>
      <c r="J51" s="38">
        <f t="shared" si="34"/>
        <v>517.68743273788164</v>
      </c>
      <c r="K51" s="38">
        <f t="shared" si="34"/>
        <v>755.13154523554044</v>
      </c>
      <c r="L51" s="38">
        <f t="shared" si="34"/>
        <v>684.19977372578956</v>
      </c>
      <c r="M51" s="38">
        <f t="shared" si="34"/>
        <v>557.16276396052046</v>
      </c>
      <c r="N51" s="163">
        <f t="shared" si="34"/>
        <v>5649.5808310122229</v>
      </c>
      <c r="O51" s="38">
        <f t="shared" si="34"/>
        <v>430.07194583712965</v>
      </c>
      <c r="P51" s="38">
        <f t="shared" si="34"/>
        <v>0</v>
      </c>
      <c r="Q51" s="163">
        <f t="shared" si="34"/>
        <v>406.4602038371296</v>
      </c>
      <c r="R51" s="38">
        <f t="shared" si="34"/>
        <v>1015.5569542003308</v>
      </c>
      <c r="S51" s="38">
        <f t="shared" si="34"/>
        <v>1346.4746407958437</v>
      </c>
      <c r="T51" s="163">
        <f t="shared" si="34"/>
        <v>2237.6950693961744</v>
      </c>
      <c r="U51" s="38">
        <f t="shared" si="34"/>
        <v>1529.0732395809191</v>
      </c>
      <c r="V51" s="38">
        <f t="shared" si="34"/>
        <v>1300.9628693735538</v>
      </c>
      <c r="W51" s="60">
        <f t="shared" si="34"/>
        <v>2682.0259669544726</v>
      </c>
    </row>
    <row r="52" spans="1:23" ht="18">
      <c r="A52" s="13"/>
      <c r="B52" s="4"/>
      <c r="C52" s="136"/>
      <c r="D52" s="38"/>
      <c r="E52" s="38"/>
      <c r="F52" s="38"/>
      <c r="G52" s="38"/>
      <c r="H52" s="38"/>
      <c r="I52" s="38"/>
      <c r="J52" s="38"/>
      <c r="K52" s="38"/>
      <c r="L52" s="38"/>
      <c r="M52" s="38"/>
      <c r="N52" s="163"/>
      <c r="O52" s="38"/>
      <c r="P52" s="38"/>
      <c r="Q52" s="163"/>
      <c r="R52" s="38"/>
      <c r="S52" s="38"/>
      <c r="T52" s="163"/>
      <c r="U52" s="38"/>
      <c r="V52" s="38"/>
      <c r="W52" s="60"/>
    </row>
    <row r="53" spans="1:23" ht="18">
      <c r="A53" s="13" t="s">
        <v>177</v>
      </c>
      <c r="B53" s="4">
        <f>COUNTA($B$8:B52)</f>
        <v>32</v>
      </c>
      <c r="C53" s="136">
        <f t="shared" ref="C53:D53" si="35">C29*0.9</f>
        <v>324</v>
      </c>
      <c r="D53" s="38">
        <f t="shared" si="35"/>
        <v>0</v>
      </c>
      <c r="E53" s="38">
        <f t="shared" ref="E53:F53" si="36">E29*0.9</f>
        <v>0</v>
      </c>
      <c r="F53" s="38">
        <f t="shared" si="36"/>
        <v>0</v>
      </c>
      <c r="G53" s="38">
        <f t="shared" ref="G53:Q53" si="37">G29*0.9</f>
        <v>0</v>
      </c>
      <c r="H53" s="38">
        <f t="shared" si="37"/>
        <v>0</v>
      </c>
      <c r="I53" s="38">
        <f t="shared" si="37"/>
        <v>0</v>
      </c>
      <c r="J53" s="38">
        <f t="shared" si="37"/>
        <v>0</v>
      </c>
      <c r="K53" s="38">
        <f t="shared" si="37"/>
        <v>0</v>
      </c>
      <c r="L53" s="38">
        <f t="shared" si="37"/>
        <v>0</v>
      </c>
      <c r="M53" s="38">
        <f t="shared" si="37"/>
        <v>0</v>
      </c>
      <c r="N53" s="163">
        <f t="shared" si="37"/>
        <v>0</v>
      </c>
      <c r="O53" s="38">
        <f t="shared" si="37"/>
        <v>0</v>
      </c>
      <c r="P53" s="38">
        <f t="shared" si="37"/>
        <v>0</v>
      </c>
      <c r="Q53" s="163">
        <f t="shared" si="37"/>
        <v>0</v>
      </c>
      <c r="R53" s="38">
        <f t="shared" ref="R53:W53" si="38">R29*0.9</f>
        <v>0</v>
      </c>
      <c r="S53" s="38">
        <f t="shared" si="38"/>
        <v>0</v>
      </c>
      <c r="T53" s="163">
        <f t="shared" si="38"/>
        <v>0</v>
      </c>
      <c r="U53" s="38">
        <f t="shared" si="38"/>
        <v>0</v>
      </c>
      <c r="V53" s="38">
        <f t="shared" si="38"/>
        <v>0</v>
      </c>
      <c r="W53" s="60">
        <f t="shared" si="38"/>
        <v>0</v>
      </c>
    </row>
    <row r="54" spans="1:23" ht="18">
      <c r="A54" s="13"/>
      <c r="B54" s="4"/>
      <c r="C54" s="127"/>
      <c r="D54" s="38"/>
      <c r="E54" s="38"/>
      <c r="F54" s="38"/>
      <c r="G54" s="38"/>
      <c r="H54" s="38"/>
      <c r="I54" s="38"/>
      <c r="J54" s="38"/>
      <c r="K54" s="38"/>
      <c r="L54" s="38"/>
      <c r="M54" s="38"/>
      <c r="N54" s="163"/>
      <c r="O54" s="38"/>
      <c r="P54" s="38"/>
      <c r="Q54" s="163"/>
      <c r="R54" s="38"/>
      <c r="S54" s="38"/>
      <c r="T54" s="163"/>
      <c r="U54" s="38"/>
      <c r="V54" s="38"/>
      <c r="W54" s="60"/>
    </row>
    <row r="55" spans="1:23" ht="17.649999999999999">
      <c r="A55" s="5" t="s">
        <v>178</v>
      </c>
      <c r="B55" s="4">
        <f>COUNTA($B$8:B54)</f>
        <v>33</v>
      </c>
      <c r="C55" s="142">
        <f>ROUND(C51,2)+ROUND(C53,2)</f>
        <v>11918.82</v>
      </c>
      <c r="D55" s="43">
        <f t="shared" ref="D55:W55" si="39">D51+D53</f>
        <v>551.42434265410361</v>
      </c>
      <c r="E55" s="43">
        <f t="shared" si="39"/>
        <v>674.98649453252222</v>
      </c>
      <c r="F55" s="43">
        <f t="shared" si="39"/>
        <v>490.70745616446396</v>
      </c>
      <c r="G55" s="43">
        <f t="shared" si="39"/>
        <v>811.17262725199123</v>
      </c>
      <c r="H55" s="43">
        <f t="shared" si="39"/>
        <v>520.14385581017712</v>
      </c>
      <c r="I55" s="43">
        <f t="shared" si="39"/>
        <v>410.07890813923217</v>
      </c>
      <c r="J55" s="43">
        <f t="shared" si="39"/>
        <v>517.68743273788164</v>
      </c>
      <c r="K55" s="43">
        <f t="shared" si="39"/>
        <v>755.13154523554044</v>
      </c>
      <c r="L55" s="43">
        <f t="shared" si="39"/>
        <v>684.19977372578956</v>
      </c>
      <c r="M55" s="43">
        <f t="shared" si="39"/>
        <v>557.16276396052046</v>
      </c>
      <c r="N55" s="170">
        <f t="shared" si="39"/>
        <v>5649.5808310122229</v>
      </c>
      <c r="O55" s="43">
        <f t="shared" si="39"/>
        <v>430.07194583712965</v>
      </c>
      <c r="P55" s="43">
        <f t="shared" si="39"/>
        <v>0</v>
      </c>
      <c r="Q55" s="170">
        <f t="shared" si="39"/>
        <v>406.4602038371296</v>
      </c>
      <c r="R55" s="43">
        <f t="shared" si="39"/>
        <v>1015.5569542003308</v>
      </c>
      <c r="S55" s="43">
        <f t="shared" si="39"/>
        <v>1346.4746407958437</v>
      </c>
      <c r="T55" s="170">
        <f t="shared" si="39"/>
        <v>2237.6950693961744</v>
      </c>
      <c r="U55" s="43">
        <f t="shared" si="39"/>
        <v>1529.0732395809191</v>
      </c>
      <c r="V55" s="43">
        <f t="shared" si="39"/>
        <v>1300.9628693735538</v>
      </c>
      <c r="W55" s="65">
        <f t="shared" si="39"/>
        <v>2682.0259669544726</v>
      </c>
    </row>
    <row r="56" spans="1:23" ht="18">
      <c r="A56" s="13"/>
      <c r="B56" s="4"/>
      <c r="C56" s="127"/>
      <c r="D56" s="27"/>
      <c r="E56" s="27"/>
      <c r="F56" s="27"/>
      <c r="G56" s="27"/>
      <c r="H56" s="27"/>
      <c r="I56" s="27"/>
      <c r="J56" s="27"/>
      <c r="K56" s="27"/>
      <c r="L56" s="27"/>
      <c r="M56" s="27"/>
      <c r="N56" s="169"/>
      <c r="O56" s="27"/>
      <c r="P56" s="27"/>
      <c r="Q56" s="169"/>
      <c r="R56" s="27"/>
      <c r="S56" s="27"/>
      <c r="T56" s="169"/>
      <c r="U56" s="27"/>
      <c r="V56" s="27"/>
      <c r="W56" s="53"/>
    </row>
    <row r="57" spans="1:23" ht="18">
      <c r="A57" s="13" t="s">
        <v>179</v>
      </c>
      <c r="B57" s="4">
        <f>COUNTA($B$8:B56)</f>
        <v>34</v>
      </c>
      <c r="C57" s="176">
        <f>C55*C27</f>
        <v>79379341.200000003</v>
      </c>
      <c r="D57" s="44">
        <f>D55*D27</f>
        <v>3672486.1220763302</v>
      </c>
      <c r="E57" s="44">
        <f t="shared" ref="E57:F57" si="40">E55*E27</f>
        <v>4495410.0535865976</v>
      </c>
      <c r="F57" s="44">
        <f t="shared" si="40"/>
        <v>3268111.6580553302</v>
      </c>
      <c r="G57" s="44">
        <f t="shared" ref="G57:Q57" si="41">G55*G27</f>
        <v>5402409.6974982619</v>
      </c>
      <c r="H57" s="44">
        <f t="shared" si="41"/>
        <v>3464158.0796957794</v>
      </c>
      <c r="I57" s="44">
        <f t="shared" si="41"/>
        <v>2731125.5282072863</v>
      </c>
      <c r="J57" s="44">
        <f t="shared" si="41"/>
        <v>3447798.3020342919</v>
      </c>
      <c r="K57" s="44">
        <f t="shared" si="41"/>
        <v>5029176.0912686996</v>
      </c>
      <c r="L57" s="44">
        <f t="shared" si="41"/>
        <v>4556770.4930137582</v>
      </c>
      <c r="M57" s="44">
        <f t="shared" si="41"/>
        <v>3710704.0079770661</v>
      </c>
      <c r="N57" s="122">
        <f t="shared" si="41"/>
        <v>37626208.334541403</v>
      </c>
      <c r="O57" s="44">
        <f t="shared" si="41"/>
        <v>2864279.1592752836</v>
      </c>
      <c r="P57" s="44">
        <f t="shared" si="41"/>
        <v>0</v>
      </c>
      <c r="Q57" s="122">
        <f t="shared" si="41"/>
        <v>2707024.9575552833</v>
      </c>
      <c r="R57" s="44">
        <f t="shared" ref="R57:W57" si="42">R55*R27</f>
        <v>6763609.3149742028</v>
      </c>
      <c r="S57" s="44">
        <f t="shared" si="42"/>
        <v>8967521.1077003181</v>
      </c>
      <c r="T57" s="122">
        <f t="shared" si="42"/>
        <v>14903049.162178522</v>
      </c>
      <c r="U57" s="44">
        <f t="shared" si="42"/>
        <v>10183627.775608921</v>
      </c>
      <c r="V57" s="44">
        <f t="shared" si="42"/>
        <v>8664412.7100278679</v>
      </c>
      <c r="W57" s="66">
        <f t="shared" si="42"/>
        <v>17862292.939916786</v>
      </c>
    </row>
    <row r="58" spans="1:23" ht="18">
      <c r="A58" s="13"/>
      <c r="B58" s="4"/>
      <c r="C58" s="143"/>
      <c r="D58" s="44"/>
      <c r="E58" s="44"/>
      <c r="F58" s="44"/>
      <c r="G58" s="44"/>
      <c r="H58" s="44"/>
      <c r="I58" s="44"/>
      <c r="J58" s="44"/>
      <c r="K58" s="44"/>
      <c r="L58" s="44"/>
      <c r="M58" s="44"/>
      <c r="N58" s="122"/>
      <c r="O58" s="44"/>
      <c r="P58" s="44"/>
      <c r="Q58" s="122"/>
      <c r="R58" s="44"/>
      <c r="S58" s="44"/>
      <c r="T58" s="122"/>
      <c r="U58" s="44"/>
      <c r="V58" s="44"/>
      <c r="W58" s="66"/>
    </row>
    <row r="59" spans="1:23" ht="18">
      <c r="A59" s="20" t="s">
        <v>181</v>
      </c>
      <c r="B59" s="4">
        <f>COUNTA($B$8:B58)</f>
        <v>35</v>
      </c>
      <c r="C59" s="144">
        <f>C73*0.00265</f>
        <v>13073858.239150001</v>
      </c>
      <c r="D59" s="45">
        <f t="shared" ref="D59:W59" si="43">$C$59*D55/$C$55</f>
        <v>604862.19990537874</v>
      </c>
      <c r="E59" s="45">
        <f t="shared" si="43"/>
        <v>740398.60849136009</v>
      </c>
      <c r="F59" s="45">
        <f t="shared" si="43"/>
        <v>538261.31435730343</v>
      </c>
      <c r="G59" s="45">
        <f t="shared" si="43"/>
        <v>889782.37243044178</v>
      </c>
      <c r="H59" s="45">
        <f t="shared" si="43"/>
        <v>570550.35941705084</v>
      </c>
      <c r="I59" s="45">
        <f t="shared" si="43"/>
        <v>449819.15255685861</v>
      </c>
      <c r="J59" s="45">
        <f t="shared" si="43"/>
        <v>567855.88739527622</v>
      </c>
      <c r="K59" s="45">
        <f t="shared" si="43"/>
        <v>828310.41783664341</v>
      </c>
      <c r="L59" s="45">
        <f t="shared" si="43"/>
        <v>750504.73527995893</v>
      </c>
      <c r="M59" s="45">
        <f t="shared" si="43"/>
        <v>611156.72458790697</v>
      </c>
      <c r="N59" s="171">
        <f t="shared" si="43"/>
        <v>6197074.7855302002</v>
      </c>
      <c r="O59" s="45">
        <f t="shared" si="43"/>
        <v>471749.69103569235</v>
      </c>
      <c r="P59" s="45">
        <f t="shared" si="43"/>
        <v>0</v>
      </c>
      <c r="Q59" s="171">
        <f t="shared" si="43"/>
        <v>445849.76405572408</v>
      </c>
      <c r="R59" s="45">
        <f t="shared" si="43"/>
        <v>1113973.3340211592</v>
      </c>
      <c r="S59" s="45">
        <f t="shared" si="43"/>
        <v>1476959.8480701344</v>
      </c>
      <c r="T59" s="171">
        <f t="shared" si="43"/>
        <v>2454547.3561754022</v>
      </c>
      <c r="U59" s="45">
        <f t="shared" si="43"/>
        <v>1677253.8532806756</v>
      </c>
      <c r="V59" s="45">
        <f t="shared" si="43"/>
        <v>1427037.5866560333</v>
      </c>
      <c r="W59" s="67">
        <f t="shared" si="43"/>
        <v>2941937.8164685746</v>
      </c>
    </row>
    <row r="60" spans="1:23" ht="18">
      <c r="A60" s="13"/>
      <c r="B60" s="4"/>
      <c r="C60" s="143"/>
      <c r="D60" s="44"/>
      <c r="E60" s="44"/>
      <c r="F60" s="44"/>
      <c r="G60" s="44"/>
      <c r="H60" s="44"/>
      <c r="I60" s="44"/>
      <c r="J60" s="44"/>
      <c r="K60" s="44"/>
      <c r="L60" s="44"/>
      <c r="M60" s="44"/>
      <c r="N60" s="122"/>
      <c r="O60" s="44"/>
      <c r="P60" s="44"/>
      <c r="Q60" s="122"/>
      <c r="R60" s="44"/>
      <c r="S60" s="44"/>
      <c r="T60" s="122"/>
      <c r="U60" s="44"/>
      <c r="V60" s="44"/>
      <c r="W60" s="66"/>
    </row>
    <row r="61" spans="1:23" ht="18">
      <c r="A61" s="13" t="s">
        <v>180</v>
      </c>
      <c r="B61" s="4">
        <f>COUNTA($B$8:B60)</f>
        <v>36</v>
      </c>
      <c r="C61" s="143">
        <f>'Revenue Estimates'!F12</f>
        <v>12017853.842816122</v>
      </c>
      <c r="D61" s="44">
        <f t="shared" ref="D61:W61" si="44">$C$61*D55/$C$55</f>
        <v>556006.14451665292</v>
      </c>
      <c r="E61" s="44">
        <f t="shared" si="44"/>
        <v>680594.97812423168</v>
      </c>
      <c r="F61" s="44">
        <f t="shared" si="44"/>
        <v>494784.7595453767</v>
      </c>
      <c r="G61" s="44">
        <f t="shared" si="44"/>
        <v>817912.68561884412</v>
      </c>
      <c r="H61" s="44">
        <f t="shared" si="44"/>
        <v>524465.74714321818</v>
      </c>
      <c r="I61" s="44">
        <f t="shared" si="44"/>
        <v>413486.26642896788</v>
      </c>
      <c r="J61" s="44">
        <f t="shared" si="44"/>
        <v>521988.91357588785</v>
      </c>
      <c r="K61" s="44">
        <f t="shared" si="44"/>
        <v>761405.9565242714</v>
      </c>
      <c r="L61" s="44">
        <f t="shared" si="44"/>
        <v>689884.81073834503</v>
      </c>
      <c r="M61" s="44">
        <f t="shared" si="44"/>
        <v>561792.24654261011</v>
      </c>
      <c r="N61" s="122">
        <f t="shared" si="44"/>
        <v>5696523.3723036796</v>
      </c>
      <c r="O61" s="44">
        <f t="shared" si="44"/>
        <v>433645.42689344718</v>
      </c>
      <c r="P61" s="44">
        <f t="shared" si="44"/>
        <v>0</v>
      </c>
      <c r="Q61" s="122">
        <f t="shared" si="44"/>
        <v>409837.49420126085</v>
      </c>
      <c r="R61" s="44">
        <f t="shared" si="44"/>
        <v>1023995.2482406045</v>
      </c>
      <c r="S61" s="44">
        <f t="shared" si="44"/>
        <v>1357662.5400956462</v>
      </c>
      <c r="T61" s="122">
        <f t="shared" si="44"/>
        <v>2256288.1467119651</v>
      </c>
      <c r="U61" s="44">
        <f t="shared" si="44"/>
        <v>1541778.3562672182</v>
      </c>
      <c r="V61" s="44">
        <f t="shared" si="44"/>
        <v>1311772.6099615609</v>
      </c>
      <c r="W61" s="66">
        <f t="shared" si="44"/>
        <v>2704311.00339601</v>
      </c>
    </row>
    <row r="62" spans="1:23" ht="18">
      <c r="A62" s="7" t="s">
        <v>13</v>
      </c>
      <c r="B62" s="4">
        <f>COUNTA($B$8:B61)</f>
        <v>37</v>
      </c>
      <c r="C62" s="145">
        <f>C59</f>
        <v>13073858.239150001</v>
      </c>
      <c r="D62" s="46">
        <f t="shared" ref="D62:W62" si="45">D59</f>
        <v>604862.19990537874</v>
      </c>
      <c r="E62" s="46">
        <f t="shared" si="45"/>
        <v>740398.60849136009</v>
      </c>
      <c r="F62" s="46">
        <f t="shared" si="45"/>
        <v>538261.31435730343</v>
      </c>
      <c r="G62" s="46">
        <f t="shared" si="45"/>
        <v>889782.37243044178</v>
      </c>
      <c r="H62" s="46">
        <f t="shared" si="45"/>
        <v>570550.35941705084</v>
      </c>
      <c r="I62" s="46">
        <f t="shared" si="45"/>
        <v>449819.15255685861</v>
      </c>
      <c r="J62" s="46">
        <f t="shared" si="45"/>
        <v>567855.88739527622</v>
      </c>
      <c r="K62" s="46">
        <f t="shared" si="45"/>
        <v>828310.41783664341</v>
      </c>
      <c r="L62" s="46">
        <f t="shared" si="45"/>
        <v>750504.73527995893</v>
      </c>
      <c r="M62" s="46">
        <f t="shared" si="45"/>
        <v>611156.72458790697</v>
      </c>
      <c r="N62" s="122">
        <f t="shared" si="45"/>
        <v>6197074.7855302002</v>
      </c>
      <c r="O62" s="46">
        <f t="shared" si="45"/>
        <v>471749.69103569235</v>
      </c>
      <c r="P62" s="46">
        <f t="shared" si="45"/>
        <v>0</v>
      </c>
      <c r="Q62" s="122">
        <f t="shared" si="45"/>
        <v>445849.76405572408</v>
      </c>
      <c r="R62" s="46">
        <f t="shared" si="45"/>
        <v>1113973.3340211592</v>
      </c>
      <c r="S62" s="46">
        <f t="shared" si="45"/>
        <v>1476959.8480701344</v>
      </c>
      <c r="T62" s="122">
        <f t="shared" si="45"/>
        <v>2454547.3561754022</v>
      </c>
      <c r="U62" s="46">
        <f t="shared" si="45"/>
        <v>1677253.8532806756</v>
      </c>
      <c r="V62" s="46">
        <f t="shared" si="45"/>
        <v>1427037.5866560333</v>
      </c>
      <c r="W62" s="68">
        <f t="shared" si="45"/>
        <v>2941937.8164685746</v>
      </c>
    </row>
    <row r="63" spans="1:23" ht="18">
      <c r="A63" s="7" t="s">
        <v>183</v>
      </c>
      <c r="B63" s="4">
        <f>COUNTA($B$8:B62)</f>
        <v>38</v>
      </c>
      <c r="C63" s="145">
        <f>MIN(C62+C80,C79)</f>
        <v>13073858.239150001</v>
      </c>
      <c r="D63" s="46"/>
      <c r="E63" s="46"/>
      <c r="F63" s="46"/>
      <c r="G63" s="46"/>
      <c r="H63" s="46"/>
      <c r="I63" s="46"/>
      <c r="J63" s="46"/>
      <c r="K63" s="46"/>
      <c r="L63" s="46"/>
      <c r="M63" s="46"/>
      <c r="N63" s="122"/>
      <c r="O63" s="46"/>
      <c r="P63" s="46"/>
      <c r="Q63" s="122"/>
      <c r="R63" s="46"/>
      <c r="S63" s="46"/>
      <c r="T63" s="122"/>
      <c r="U63" s="46"/>
      <c r="V63" s="46"/>
      <c r="W63" s="68"/>
    </row>
    <row r="64" spans="1:23" ht="18">
      <c r="A64" s="13" t="s">
        <v>185</v>
      </c>
      <c r="B64" s="4">
        <f>COUNTA($B$8:B63)</f>
        <v>39</v>
      </c>
      <c r="C64" s="177">
        <f>1-C63/C57</f>
        <v>0.83529898281456139</v>
      </c>
      <c r="D64" s="44">
        <f t="shared" ref="D64:W64" si="46">IFERROR(D62/D63,0)</f>
        <v>0</v>
      </c>
      <c r="E64" s="44">
        <f t="shared" si="46"/>
        <v>0</v>
      </c>
      <c r="F64" s="44">
        <f t="shared" si="46"/>
        <v>0</v>
      </c>
      <c r="G64" s="44">
        <f t="shared" si="46"/>
        <v>0</v>
      </c>
      <c r="H64" s="44">
        <f t="shared" si="46"/>
        <v>0</v>
      </c>
      <c r="I64" s="44">
        <f t="shared" si="46"/>
        <v>0</v>
      </c>
      <c r="J64" s="44">
        <f t="shared" si="46"/>
        <v>0</v>
      </c>
      <c r="K64" s="44">
        <f t="shared" si="46"/>
        <v>0</v>
      </c>
      <c r="L64" s="44">
        <f t="shared" si="46"/>
        <v>0</v>
      </c>
      <c r="M64" s="44">
        <f t="shared" si="46"/>
        <v>0</v>
      </c>
      <c r="N64" s="122">
        <f t="shared" si="46"/>
        <v>0</v>
      </c>
      <c r="O64" s="44">
        <f t="shared" si="46"/>
        <v>0</v>
      </c>
      <c r="P64" s="44">
        <f t="shared" si="46"/>
        <v>0</v>
      </c>
      <c r="Q64" s="122">
        <f t="shared" si="46"/>
        <v>0</v>
      </c>
      <c r="R64" s="44">
        <f t="shared" si="46"/>
        <v>0</v>
      </c>
      <c r="S64" s="44">
        <f t="shared" si="46"/>
        <v>0</v>
      </c>
      <c r="T64" s="122">
        <f t="shared" si="46"/>
        <v>0</v>
      </c>
      <c r="U64" s="44">
        <f t="shared" si="46"/>
        <v>0</v>
      </c>
      <c r="V64" s="44">
        <f t="shared" si="46"/>
        <v>0</v>
      </c>
      <c r="W64" s="66">
        <f t="shared" si="46"/>
        <v>0</v>
      </c>
    </row>
    <row r="65" spans="1:23" ht="18">
      <c r="A65" s="13" t="s">
        <v>184</v>
      </c>
      <c r="B65" s="4">
        <f>COUNTA($B$8:B64)</f>
        <v>40</v>
      </c>
      <c r="C65" s="143">
        <f t="shared" ref="C65:W65" si="47">C61*C64*0.9</f>
        <v>9034650.9814665373</v>
      </c>
      <c r="D65" s="44">
        <f t="shared" si="47"/>
        <v>0</v>
      </c>
      <c r="E65" s="44">
        <f t="shared" si="47"/>
        <v>0</v>
      </c>
      <c r="F65" s="44">
        <f t="shared" si="47"/>
        <v>0</v>
      </c>
      <c r="G65" s="44">
        <f t="shared" si="47"/>
        <v>0</v>
      </c>
      <c r="H65" s="44">
        <f t="shared" si="47"/>
        <v>0</v>
      </c>
      <c r="I65" s="44">
        <f t="shared" si="47"/>
        <v>0</v>
      </c>
      <c r="J65" s="44">
        <f t="shared" si="47"/>
        <v>0</v>
      </c>
      <c r="K65" s="44">
        <f t="shared" si="47"/>
        <v>0</v>
      </c>
      <c r="L65" s="44">
        <f t="shared" si="47"/>
        <v>0</v>
      </c>
      <c r="M65" s="44">
        <f t="shared" si="47"/>
        <v>0</v>
      </c>
      <c r="N65" s="122">
        <f t="shared" si="47"/>
        <v>0</v>
      </c>
      <c r="O65" s="44">
        <f t="shared" si="47"/>
        <v>0</v>
      </c>
      <c r="P65" s="44">
        <f t="shared" si="47"/>
        <v>0</v>
      </c>
      <c r="Q65" s="122">
        <f t="shared" si="47"/>
        <v>0</v>
      </c>
      <c r="R65" s="44">
        <f t="shared" si="47"/>
        <v>0</v>
      </c>
      <c r="S65" s="44">
        <f t="shared" si="47"/>
        <v>0</v>
      </c>
      <c r="T65" s="122">
        <f t="shared" si="47"/>
        <v>0</v>
      </c>
      <c r="U65" s="44">
        <f t="shared" si="47"/>
        <v>0</v>
      </c>
      <c r="V65" s="44">
        <f t="shared" si="47"/>
        <v>0</v>
      </c>
      <c r="W65" s="66">
        <f t="shared" si="47"/>
        <v>0</v>
      </c>
    </row>
    <row r="66" spans="1:23" ht="18">
      <c r="A66" s="13"/>
      <c r="B66" s="4"/>
      <c r="C66" s="143"/>
      <c r="D66" s="44"/>
      <c r="E66" s="44"/>
      <c r="F66" s="44"/>
      <c r="G66" s="44"/>
      <c r="H66" s="44"/>
      <c r="I66" s="44"/>
      <c r="J66" s="44"/>
      <c r="K66" s="44"/>
      <c r="L66" s="44"/>
      <c r="M66" s="44"/>
      <c r="N66" s="122"/>
      <c r="O66" s="44"/>
      <c r="P66" s="44"/>
      <c r="Q66" s="122"/>
      <c r="R66" s="44"/>
      <c r="S66" s="44"/>
      <c r="T66" s="122"/>
      <c r="U66" s="44"/>
      <c r="V66" s="44"/>
      <c r="W66" s="66"/>
    </row>
    <row r="67" spans="1:23" ht="18">
      <c r="A67" s="13" t="s">
        <v>187</v>
      </c>
      <c r="B67" s="4">
        <f>COUNTA($B$8:B66)</f>
        <v>41</v>
      </c>
      <c r="C67" s="143">
        <f t="shared" ref="C67:W67" si="48">C57-C59-C65</f>
        <v>57270831.979383461</v>
      </c>
      <c r="D67" s="44">
        <f t="shared" si="48"/>
        <v>3067623.9221709515</v>
      </c>
      <c r="E67" s="44">
        <f t="shared" si="48"/>
        <v>3755011.4450952373</v>
      </c>
      <c r="F67" s="44">
        <f t="shared" si="48"/>
        <v>2729850.3436980266</v>
      </c>
      <c r="G67" s="44">
        <f t="shared" si="48"/>
        <v>4512627.32506782</v>
      </c>
      <c r="H67" s="44">
        <f t="shared" si="48"/>
        <v>2893607.7202787288</v>
      </c>
      <c r="I67" s="44">
        <f t="shared" si="48"/>
        <v>2281306.3756504278</v>
      </c>
      <c r="J67" s="44">
        <f t="shared" si="48"/>
        <v>2879942.4146390157</v>
      </c>
      <c r="K67" s="44">
        <f t="shared" si="48"/>
        <v>4200865.6734320559</v>
      </c>
      <c r="L67" s="44">
        <f t="shared" si="48"/>
        <v>3806265.7577337995</v>
      </c>
      <c r="M67" s="44">
        <f t="shared" si="48"/>
        <v>3099547.283389159</v>
      </c>
      <c r="N67" s="122">
        <f t="shared" si="48"/>
        <v>31429133.549011201</v>
      </c>
      <c r="O67" s="44">
        <f t="shared" si="48"/>
        <v>2392529.4682395915</v>
      </c>
      <c r="P67" s="44">
        <f t="shared" si="48"/>
        <v>0</v>
      </c>
      <c r="Q67" s="122">
        <f t="shared" si="48"/>
        <v>2261175.1934995591</v>
      </c>
      <c r="R67" s="44">
        <f t="shared" si="48"/>
        <v>5649635.9809530433</v>
      </c>
      <c r="S67" s="44">
        <f t="shared" si="48"/>
        <v>7490561.2596301837</v>
      </c>
      <c r="T67" s="122">
        <f t="shared" si="48"/>
        <v>12448501.80600312</v>
      </c>
      <c r="U67" s="44">
        <f t="shared" si="48"/>
        <v>8506373.9223282449</v>
      </c>
      <c r="V67" s="44">
        <f t="shared" si="48"/>
        <v>7237375.1233718349</v>
      </c>
      <c r="W67" s="66">
        <f t="shared" si="48"/>
        <v>14920355.123448212</v>
      </c>
    </row>
    <row r="68" spans="1:23" ht="18">
      <c r="A68" s="13"/>
      <c r="B68" s="4"/>
      <c r="C68" s="143"/>
      <c r="D68" s="44"/>
      <c r="E68" s="44"/>
      <c r="F68" s="44"/>
      <c r="G68" s="44"/>
      <c r="H68" s="44"/>
      <c r="I68" s="44"/>
      <c r="J68" s="44"/>
      <c r="K68" s="44"/>
      <c r="L68" s="44"/>
      <c r="M68" s="44"/>
      <c r="N68" s="122"/>
      <c r="O68" s="44"/>
      <c r="P68" s="44"/>
      <c r="Q68" s="122"/>
      <c r="R68" s="44"/>
      <c r="S68" s="44"/>
      <c r="T68" s="122"/>
      <c r="U68" s="44"/>
      <c r="V68" s="44"/>
      <c r="W68" s="66"/>
    </row>
    <row r="69" spans="1:23" ht="18">
      <c r="A69" s="13" t="s">
        <v>188</v>
      </c>
      <c r="B69" s="4">
        <f>COUNTA($B$8:B68)</f>
        <v>42</v>
      </c>
      <c r="C69" s="146">
        <f t="shared" ref="C69:W69" si="49">16*C55</f>
        <v>190701.12</v>
      </c>
      <c r="D69" s="47">
        <f t="shared" si="49"/>
        <v>8822.7894824656578</v>
      </c>
      <c r="E69" s="47">
        <f t="shared" si="49"/>
        <v>10799.783912520355</v>
      </c>
      <c r="F69" s="47">
        <f t="shared" si="49"/>
        <v>7851.3192986314234</v>
      </c>
      <c r="G69" s="47">
        <f t="shared" si="49"/>
        <v>12978.76203603186</v>
      </c>
      <c r="H69" s="47">
        <f t="shared" si="49"/>
        <v>8322.3016929628338</v>
      </c>
      <c r="I69" s="47">
        <f t="shared" si="49"/>
        <v>6561.2625302277147</v>
      </c>
      <c r="J69" s="47">
        <f t="shared" si="49"/>
        <v>8282.9989238061062</v>
      </c>
      <c r="K69" s="47">
        <f t="shared" si="49"/>
        <v>12082.104723768647</v>
      </c>
      <c r="L69" s="47">
        <f t="shared" si="49"/>
        <v>10947.196379612633</v>
      </c>
      <c r="M69" s="47">
        <f t="shared" si="49"/>
        <v>8914.6042233683274</v>
      </c>
      <c r="N69" s="172">
        <f t="shared" si="49"/>
        <v>90393.293296195567</v>
      </c>
      <c r="O69" s="47">
        <f t="shared" si="49"/>
        <v>6881.1511333940743</v>
      </c>
      <c r="P69" s="47">
        <f t="shared" si="49"/>
        <v>0</v>
      </c>
      <c r="Q69" s="172">
        <f t="shared" si="49"/>
        <v>6503.3632613940736</v>
      </c>
      <c r="R69" s="47">
        <f t="shared" si="49"/>
        <v>16248.911267205292</v>
      </c>
      <c r="S69" s="47">
        <f t="shared" si="49"/>
        <v>21543.594252733499</v>
      </c>
      <c r="T69" s="172">
        <f t="shared" si="49"/>
        <v>35803.12111033879</v>
      </c>
      <c r="U69" s="47">
        <f t="shared" si="49"/>
        <v>24465.171833294706</v>
      </c>
      <c r="V69" s="47">
        <f t="shared" si="49"/>
        <v>20815.40590997686</v>
      </c>
      <c r="W69" s="69">
        <f t="shared" si="49"/>
        <v>42912.415471271561</v>
      </c>
    </row>
    <row r="70" spans="1:23" ht="18">
      <c r="A70" s="13"/>
      <c r="B70" s="4"/>
      <c r="C70" s="143"/>
      <c r="D70" s="44"/>
      <c r="E70" s="44"/>
      <c r="F70" s="44"/>
      <c r="G70" s="44"/>
      <c r="H70" s="44"/>
      <c r="I70" s="44"/>
      <c r="J70" s="44"/>
      <c r="K70" s="44"/>
      <c r="L70" s="44"/>
      <c r="M70" s="44"/>
      <c r="N70" s="122"/>
      <c r="O70" s="44"/>
      <c r="P70" s="44"/>
      <c r="Q70" s="122"/>
      <c r="R70" s="44"/>
      <c r="S70" s="44"/>
      <c r="T70" s="122"/>
      <c r="U70" s="44"/>
      <c r="V70" s="44"/>
      <c r="W70" s="66"/>
    </row>
    <row r="71" spans="1:23" ht="17.649999999999999">
      <c r="A71" s="19" t="s">
        <v>19</v>
      </c>
      <c r="B71" s="4">
        <f>COUNTA($B$8:B70)</f>
        <v>43</v>
      </c>
      <c r="C71" s="147">
        <f t="shared" ref="C71:W71" si="50">C69+C67</f>
        <v>57461533.099383458</v>
      </c>
      <c r="D71" s="48">
        <f t="shared" si="50"/>
        <v>3076446.711653417</v>
      </c>
      <c r="E71" s="48">
        <f t="shared" si="50"/>
        <v>3765811.2290077577</v>
      </c>
      <c r="F71" s="48">
        <f t="shared" si="50"/>
        <v>2737701.6629966581</v>
      </c>
      <c r="G71" s="48">
        <f t="shared" si="50"/>
        <v>4525606.0871038521</v>
      </c>
      <c r="H71" s="48">
        <f t="shared" si="50"/>
        <v>2901930.0219716914</v>
      </c>
      <c r="I71" s="48">
        <f t="shared" si="50"/>
        <v>2287867.6381806554</v>
      </c>
      <c r="J71" s="48">
        <f t="shared" si="50"/>
        <v>2888225.4135628217</v>
      </c>
      <c r="K71" s="48">
        <f t="shared" si="50"/>
        <v>4212947.7781558242</v>
      </c>
      <c r="L71" s="48">
        <f t="shared" si="50"/>
        <v>3817212.9541134122</v>
      </c>
      <c r="M71" s="48">
        <f t="shared" si="50"/>
        <v>3108461.8876125272</v>
      </c>
      <c r="N71" s="173">
        <f t="shared" si="50"/>
        <v>31519526.842307396</v>
      </c>
      <c r="O71" s="48">
        <f t="shared" si="50"/>
        <v>2399410.6193729853</v>
      </c>
      <c r="P71" s="48">
        <f t="shared" si="50"/>
        <v>0</v>
      </c>
      <c r="Q71" s="173">
        <f t="shared" si="50"/>
        <v>2267678.5567609533</v>
      </c>
      <c r="R71" s="48">
        <f t="shared" si="50"/>
        <v>5665884.8922202485</v>
      </c>
      <c r="S71" s="48">
        <f t="shared" si="50"/>
        <v>7512104.8538829172</v>
      </c>
      <c r="T71" s="173">
        <f t="shared" si="50"/>
        <v>12484304.927113459</v>
      </c>
      <c r="U71" s="48">
        <f t="shared" si="50"/>
        <v>8530839.0941615403</v>
      </c>
      <c r="V71" s="48">
        <f t="shared" si="50"/>
        <v>7258190.5292818118</v>
      </c>
      <c r="W71" s="70">
        <f t="shared" si="50"/>
        <v>14963267.538919482</v>
      </c>
    </row>
    <row r="72" spans="1:23" ht="17.649999999999999">
      <c r="A72" s="19"/>
      <c r="B72" s="4"/>
      <c r="C72" s="147"/>
      <c r="D72" s="48"/>
      <c r="E72" s="48"/>
      <c r="F72" s="48"/>
      <c r="G72" s="48"/>
      <c r="H72" s="48"/>
      <c r="I72" s="48"/>
      <c r="J72" s="48"/>
      <c r="K72" s="48"/>
      <c r="L72" s="48"/>
      <c r="M72" s="48"/>
      <c r="N72" s="173"/>
      <c r="O72" s="48"/>
      <c r="P72" s="48"/>
      <c r="Q72" s="173"/>
      <c r="R72" s="48"/>
      <c r="S72" s="48"/>
      <c r="T72" s="173"/>
      <c r="U72" s="48"/>
      <c r="V72" s="48"/>
      <c r="W72" s="70"/>
    </row>
    <row r="73" spans="1:23" ht="18">
      <c r="A73" s="13" t="s">
        <v>31</v>
      </c>
      <c r="B73" s="4">
        <f>COUNTA($B$8:B71)</f>
        <v>44</v>
      </c>
      <c r="C73" s="143">
        <f>'Revenue Estimates'!C3</f>
        <v>4933531411</v>
      </c>
      <c r="D73" s="44">
        <f t="shared" ref="D73:W73" si="51">C73</f>
        <v>4933531411</v>
      </c>
      <c r="E73" s="44">
        <f t="shared" si="51"/>
        <v>4933531411</v>
      </c>
      <c r="F73" s="44">
        <f t="shared" si="51"/>
        <v>4933531411</v>
      </c>
      <c r="G73" s="44">
        <f t="shared" si="51"/>
        <v>4933531411</v>
      </c>
      <c r="H73" s="44">
        <f t="shared" si="51"/>
        <v>4933531411</v>
      </c>
      <c r="I73" s="44">
        <f t="shared" si="51"/>
        <v>4933531411</v>
      </c>
      <c r="J73" s="44">
        <f t="shared" si="51"/>
        <v>4933531411</v>
      </c>
      <c r="K73" s="44">
        <f t="shared" si="51"/>
        <v>4933531411</v>
      </c>
      <c r="L73" s="44">
        <f t="shared" si="51"/>
        <v>4933531411</v>
      </c>
      <c r="M73" s="44">
        <f>L73</f>
        <v>4933531411</v>
      </c>
      <c r="N73" s="122">
        <f t="shared" si="51"/>
        <v>4933531411</v>
      </c>
      <c r="O73" s="44">
        <f t="shared" si="51"/>
        <v>4933531411</v>
      </c>
      <c r="P73" s="44">
        <f t="shared" si="51"/>
        <v>4933531411</v>
      </c>
      <c r="Q73" s="122">
        <f t="shared" si="51"/>
        <v>4933531411</v>
      </c>
      <c r="R73" s="44">
        <f t="shared" si="51"/>
        <v>4933531411</v>
      </c>
      <c r="S73" s="44">
        <f t="shared" si="51"/>
        <v>4933531411</v>
      </c>
      <c r="T73" s="122">
        <f t="shared" si="51"/>
        <v>4933531411</v>
      </c>
      <c r="U73" s="44">
        <f t="shared" si="51"/>
        <v>4933531411</v>
      </c>
      <c r="V73" s="44">
        <f t="shared" si="51"/>
        <v>4933531411</v>
      </c>
      <c r="W73" s="66">
        <f t="shared" si="51"/>
        <v>4933531411</v>
      </c>
    </row>
    <row r="74" spans="1:23" ht="6" customHeight="1">
      <c r="A74" s="13"/>
      <c r="B74" s="4"/>
      <c r="C74" s="143"/>
      <c r="D74" s="44"/>
      <c r="E74" s="44"/>
      <c r="F74" s="44"/>
      <c r="G74" s="44"/>
      <c r="H74" s="44"/>
      <c r="I74" s="44"/>
      <c r="J74" s="44"/>
      <c r="K74" s="44"/>
      <c r="L74" s="44"/>
      <c r="M74" s="44"/>
      <c r="N74" s="122"/>
      <c r="O74" s="44"/>
      <c r="P74" s="44"/>
      <c r="Q74" s="122"/>
      <c r="R74" s="44"/>
      <c r="S74" s="44"/>
      <c r="T74" s="122"/>
      <c r="U74" s="44"/>
      <c r="V74" s="44"/>
      <c r="W74" s="66"/>
    </row>
    <row r="75" spans="1:23" ht="18">
      <c r="A75" s="20" t="s">
        <v>2</v>
      </c>
      <c r="B75" s="4">
        <f>COUNTA($B$8:B74)</f>
        <v>45</v>
      </c>
      <c r="C75" s="144">
        <f>MIN(C76+C77+C78,C73*0.02)</f>
        <v>18301109.733599998</v>
      </c>
      <c r="D75" s="45">
        <f t="shared" ref="D75:W75" si="52">D76+D77+D78</f>
        <v>846701.04965852294</v>
      </c>
      <c r="E75" s="45">
        <f t="shared" si="52"/>
        <v>1036428.2626247972</v>
      </c>
      <c r="F75" s="45">
        <f t="shared" si="52"/>
        <v>753471.4847914112</v>
      </c>
      <c r="G75" s="45">
        <f t="shared" si="52"/>
        <v>1245539.3456928874</v>
      </c>
      <c r="H75" s="45">
        <f t="shared" si="52"/>
        <v>798670.4877194108</v>
      </c>
      <c r="I75" s="45">
        <f t="shared" si="52"/>
        <v>629667.96186962817</v>
      </c>
      <c r="J75" s="45">
        <f t="shared" si="52"/>
        <v>794898.69922036247</v>
      </c>
      <c r="K75" s="45">
        <f t="shared" si="52"/>
        <v>1159489.3850782677</v>
      </c>
      <c r="L75" s="45">
        <f t="shared" si="52"/>
        <v>1050575.0685604753</v>
      </c>
      <c r="M75" s="45">
        <f t="shared" si="52"/>
        <v>855512.2808061</v>
      </c>
      <c r="N75" s="171">
        <f t="shared" si="52"/>
        <v>8674818.3744026478</v>
      </c>
      <c r="O75" s="45">
        <f t="shared" si="52"/>
        <v>660366.87139399583</v>
      </c>
      <c r="P75" s="45">
        <f t="shared" si="52"/>
        <v>0</v>
      </c>
      <c r="Q75" s="171">
        <f t="shared" si="52"/>
        <v>624111.51378783584</v>
      </c>
      <c r="R75" s="45">
        <f t="shared" si="52"/>
        <v>1559367.3920355239</v>
      </c>
      <c r="S75" s="45">
        <f t="shared" si="52"/>
        <v>2067484.8814492018</v>
      </c>
      <c r="T75" s="171">
        <f t="shared" si="52"/>
        <v>3435936.0251564384</v>
      </c>
      <c r="U75" s="45">
        <f t="shared" si="52"/>
        <v>2347861.3779117097</v>
      </c>
      <c r="V75" s="45">
        <f t="shared" si="52"/>
        <v>1997602.4666657045</v>
      </c>
      <c r="W75" s="67">
        <f t="shared" si="52"/>
        <v>4118197.2317392537</v>
      </c>
    </row>
    <row r="76" spans="1:23" ht="18">
      <c r="A76" s="13" t="s">
        <v>32</v>
      </c>
      <c r="B76" s="4">
        <f>COUNTA($B$8:B75)</f>
        <v>46</v>
      </c>
      <c r="C76" s="143">
        <f>C57*0.23</f>
        <v>18257248.476</v>
      </c>
      <c r="D76" s="44">
        <f t="shared" ref="D76:W76" si="53">D55/$C$55*$C$76</f>
        <v>844671.80807755585</v>
      </c>
      <c r="E76" s="44">
        <f t="shared" si="53"/>
        <v>1033944.3123249175</v>
      </c>
      <c r="F76" s="44">
        <f t="shared" si="53"/>
        <v>751665.68135272595</v>
      </c>
      <c r="G76" s="44">
        <f t="shared" si="53"/>
        <v>1242554.2304246002</v>
      </c>
      <c r="H76" s="44">
        <f t="shared" si="53"/>
        <v>796756.3583300293</v>
      </c>
      <c r="I76" s="44">
        <f t="shared" si="53"/>
        <v>628158.87148767582</v>
      </c>
      <c r="J76" s="44">
        <f t="shared" si="53"/>
        <v>792993.60946788709</v>
      </c>
      <c r="K76" s="44">
        <f t="shared" si="53"/>
        <v>1156710.5009918008</v>
      </c>
      <c r="L76" s="44">
        <f t="shared" si="53"/>
        <v>1048057.2133931644</v>
      </c>
      <c r="M76" s="44">
        <f t="shared" si="53"/>
        <v>853461.9218347253</v>
      </c>
      <c r="N76" s="122">
        <f t="shared" si="53"/>
        <v>8654027.9169445224</v>
      </c>
      <c r="O76" s="44">
        <f t="shared" si="53"/>
        <v>658784.20663331519</v>
      </c>
      <c r="P76" s="44">
        <f t="shared" si="53"/>
        <v>0</v>
      </c>
      <c r="Q76" s="122">
        <f t="shared" si="53"/>
        <v>622615.74023771519</v>
      </c>
      <c r="R76" s="44">
        <f t="shared" si="53"/>
        <v>1555630.1424440667</v>
      </c>
      <c r="S76" s="44">
        <f t="shared" si="53"/>
        <v>2062529.8547710732</v>
      </c>
      <c r="T76" s="122">
        <f t="shared" si="53"/>
        <v>3427701.3073010603</v>
      </c>
      <c r="U76" s="44">
        <f t="shared" si="53"/>
        <v>2342234.3883900521</v>
      </c>
      <c r="V76" s="44">
        <f t="shared" si="53"/>
        <v>1992814.9233064097</v>
      </c>
      <c r="W76" s="66">
        <f t="shared" si="53"/>
        <v>4108327.3761808611</v>
      </c>
    </row>
    <row r="77" spans="1:23" ht="18">
      <c r="A77" s="13" t="s">
        <v>33</v>
      </c>
      <c r="B77" s="4">
        <f>COUNTA($B$8:B76)</f>
        <v>47</v>
      </c>
      <c r="C77" s="143">
        <f>C11*0.23</f>
        <v>0</v>
      </c>
      <c r="D77" s="44">
        <f t="shared" ref="D77:W77" si="54">D55/$C$55*$C$77</f>
        <v>0</v>
      </c>
      <c r="E77" s="44">
        <f t="shared" si="54"/>
        <v>0</v>
      </c>
      <c r="F77" s="44">
        <f t="shared" si="54"/>
        <v>0</v>
      </c>
      <c r="G77" s="44">
        <f t="shared" si="54"/>
        <v>0</v>
      </c>
      <c r="H77" s="44">
        <f t="shared" si="54"/>
        <v>0</v>
      </c>
      <c r="I77" s="44">
        <f t="shared" si="54"/>
        <v>0</v>
      </c>
      <c r="J77" s="44">
        <f t="shared" si="54"/>
        <v>0</v>
      </c>
      <c r="K77" s="44">
        <f t="shared" si="54"/>
        <v>0</v>
      </c>
      <c r="L77" s="44">
        <f t="shared" si="54"/>
        <v>0</v>
      </c>
      <c r="M77" s="44">
        <f t="shared" si="54"/>
        <v>0</v>
      </c>
      <c r="N77" s="122">
        <f t="shared" si="54"/>
        <v>0</v>
      </c>
      <c r="O77" s="44">
        <f t="shared" si="54"/>
        <v>0</v>
      </c>
      <c r="P77" s="44">
        <f t="shared" si="54"/>
        <v>0</v>
      </c>
      <c r="Q77" s="122">
        <f t="shared" si="54"/>
        <v>0</v>
      </c>
      <c r="R77" s="44">
        <f t="shared" si="54"/>
        <v>0</v>
      </c>
      <c r="S77" s="44">
        <f t="shared" si="54"/>
        <v>0</v>
      </c>
      <c r="T77" s="122">
        <f t="shared" si="54"/>
        <v>0</v>
      </c>
      <c r="U77" s="44">
        <f t="shared" si="54"/>
        <v>0</v>
      </c>
      <c r="V77" s="44">
        <f t="shared" si="54"/>
        <v>0</v>
      </c>
      <c r="W77" s="66">
        <f t="shared" si="54"/>
        <v>0</v>
      </c>
    </row>
    <row r="78" spans="1:23" ht="18">
      <c r="A78" s="13" t="s">
        <v>34</v>
      </c>
      <c r="B78" s="4">
        <f>COUNTA($B$8:B77)</f>
        <v>48</v>
      </c>
      <c r="C78" s="143">
        <f>C69*0.23</f>
        <v>43861.257600000004</v>
      </c>
      <c r="D78" s="44">
        <f t="shared" ref="D78:W78" si="55">D69*0.23</f>
        <v>2029.2415809671013</v>
      </c>
      <c r="E78" s="44">
        <f t="shared" si="55"/>
        <v>2483.950299879682</v>
      </c>
      <c r="F78" s="44">
        <f t="shared" si="55"/>
        <v>1805.8034386852275</v>
      </c>
      <c r="G78" s="44">
        <f t="shared" si="55"/>
        <v>2985.115268287328</v>
      </c>
      <c r="H78" s="44">
        <f t="shared" si="55"/>
        <v>1914.1293893814518</v>
      </c>
      <c r="I78" s="44">
        <f t="shared" si="55"/>
        <v>1509.0903819523744</v>
      </c>
      <c r="J78" s="44">
        <f t="shared" si="55"/>
        <v>1905.0897524754046</v>
      </c>
      <c r="K78" s="44">
        <f t="shared" si="55"/>
        <v>2778.8840864667891</v>
      </c>
      <c r="L78" s="44">
        <f t="shared" si="55"/>
        <v>2517.8551673109055</v>
      </c>
      <c r="M78" s="44">
        <f t="shared" si="55"/>
        <v>2050.3589713747156</v>
      </c>
      <c r="N78" s="122">
        <f t="shared" si="55"/>
        <v>20790.45745812498</v>
      </c>
      <c r="O78" s="44">
        <f t="shared" si="55"/>
        <v>1582.6647606806371</v>
      </c>
      <c r="P78" s="44">
        <f t="shared" si="55"/>
        <v>0</v>
      </c>
      <c r="Q78" s="122">
        <f t="shared" si="55"/>
        <v>1495.7735501206371</v>
      </c>
      <c r="R78" s="44">
        <f t="shared" si="55"/>
        <v>3737.2495914572173</v>
      </c>
      <c r="S78" s="44">
        <f t="shared" si="55"/>
        <v>4955.0266781287046</v>
      </c>
      <c r="T78" s="122">
        <f t="shared" si="55"/>
        <v>8234.7178553779213</v>
      </c>
      <c r="U78" s="44">
        <f t="shared" si="55"/>
        <v>5626.9895216577825</v>
      </c>
      <c r="V78" s="44">
        <f t="shared" si="55"/>
        <v>4787.5433592946783</v>
      </c>
      <c r="W78" s="66">
        <f t="shared" si="55"/>
        <v>9869.855558392459</v>
      </c>
    </row>
    <row r="79" spans="1:23" ht="17.649999999999999">
      <c r="A79" s="19" t="s">
        <v>3</v>
      </c>
      <c r="B79" s="4">
        <f>COUNTA($B$8:B78)</f>
        <v>49</v>
      </c>
      <c r="C79" s="147">
        <f t="shared" ref="C79:W79" si="56">C75+C59</f>
        <v>31374967.972750001</v>
      </c>
      <c r="D79" s="48">
        <f t="shared" si="56"/>
        <v>1451563.2495639017</v>
      </c>
      <c r="E79" s="48">
        <f t="shared" si="56"/>
        <v>1776826.8711161572</v>
      </c>
      <c r="F79" s="48">
        <f t="shared" si="56"/>
        <v>1291732.7991487146</v>
      </c>
      <c r="G79" s="48">
        <f t="shared" si="56"/>
        <v>2135321.7181233293</v>
      </c>
      <c r="H79" s="48">
        <f t="shared" si="56"/>
        <v>1369220.8471364616</v>
      </c>
      <c r="I79" s="48">
        <f t="shared" si="56"/>
        <v>1079487.1144264867</v>
      </c>
      <c r="J79" s="48">
        <f t="shared" si="56"/>
        <v>1362754.5866156388</v>
      </c>
      <c r="K79" s="48">
        <f t="shared" si="56"/>
        <v>1987799.8029149109</v>
      </c>
      <c r="L79" s="48">
        <f t="shared" si="56"/>
        <v>1801079.8038404342</v>
      </c>
      <c r="M79" s="48">
        <f t="shared" si="56"/>
        <v>1466669.0053940071</v>
      </c>
      <c r="N79" s="173">
        <f t="shared" si="56"/>
        <v>14871893.159932848</v>
      </c>
      <c r="O79" s="48">
        <f t="shared" si="56"/>
        <v>1132116.5624296882</v>
      </c>
      <c r="P79" s="48">
        <f t="shared" si="56"/>
        <v>0</v>
      </c>
      <c r="Q79" s="173">
        <f t="shared" si="56"/>
        <v>1069961.2778435599</v>
      </c>
      <c r="R79" s="48">
        <f t="shared" si="56"/>
        <v>2673340.7260566829</v>
      </c>
      <c r="S79" s="48">
        <f t="shared" si="56"/>
        <v>3544444.7295193365</v>
      </c>
      <c r="T79" s="173">
        <f t="shared" si="56"/>
        <v>5890483.3813318405</v>
      </c>
      <c r="U79" s="48">
        <f t="shared" si="56"/>
        <v>4025115.2311923853</v>
      </c>
      <c r="V79" s="48">
        <f t="shared" si="56"/>
        <v>3424640.0533217378</v>
      </c>
      <c r="W79" s="70">
        <f t="shared" si="56"/>
        <v>7060135.0482078288</v>
      </c>
    </row>
    <row r="80" spans="1:23" ht="18">
      <c r="A80" s="13" t="s">
        <v>189</v>
      </c>
      <c r="B80" s="6"/>
      <c r="C80" s="143">
        <v>0</v>
      </c>
      <c r="D80" s="49"/>
      <c r="E80" s="49"/>
      <c r="F80" s="49"/>
      <c r="G80" s="49"/>
      <c r="H80" s="49"/>
      <c r="I80" s="49"/>
      <c r="J80" s="49"/>
      <c r="K80" s="49"/>
      <c r="L80" s="49"/>
      <c r="M80" s="49"/>
      <c r="N80" s="122"/>
      <c r="O80" s="49"/>
      <c r="P80" s="49"/>
      <c r="Q80" s="122"/>
      <c r="R80" s="49"/>
      <c r="S80" s="49"/>
      <c r="T80" s="122"/>
      <c r="U80" s="49"/>
      <c r="V80" s="49"/>
      <c r="W80" s="66"/>
    </row>
    <row r="81" spans="1:23" ht="18">
      <c r="C81" s="148"/>
      <c r="D81" s="50"/>
      <c r="E81" s="50"/>
      <c r="F81" s="50"/>
      <c r="G81" s="50"/>
      <c r="H81" s="50"/>
      <c r="I81" s="50"/>
      <c r="J81" s="50"/>
      <c r="K81" s="50"/>
      <c r="L81" s="50"/>
      <c r="M81" s="50"/>
      <c r="N81" s="174"/>
      <c r="O81" s="50"/>
      <c r="P81" s="50"/>
      <c r="Q81" s="174"/>
      <c r="R81" s="50"/>
      <c r="S81" s="50"/>
      <c r="T81" s="174"/>
      <c r="U81" s="50"/>
      <c r="V81" s="50"/>
      <c r="W81" s="71"/>
    </row>
    <row r="82" spans="1:23" ht="17.649999999999999">
      <c r="A82" s="19" t="s">
        <v>192</v>
      </c>
      <c r="B82" s="4"/>
      <c r="C82" s="147"/>
      <c r="D82" s="48"/>
      <c r="E82" s="48"/>
      <c r="F82" s="48"/>
      <c r="G82" s="48"/>
      <c r="H82" s="48"/>
      <c r="I82" s="48"/>
      <c r="J82" s="48"/>
      <c r="K82" s="48"/>
      <c r="L82" s="48"/>
      <c r="M82" s="48"/>
      <c r="N82" s="173"/>
      <c r="O82" s="48"/>
      <c r="P82" s="48"/>
      <c r="Q82" s="173"/>
      <c r="R82" s="48"/>
      <c r="S82" s="48"/>
      <c r="T82" s="173"/>
      <c r="U82" s="48"/>
      <c r="V82" s="48"/>
      <c r="W82" s="70"/>
    </row>
    <row r="83" spans="1:23" s="178" customFormat="1" ht="18">
      <c r="A83" s="178" t="s">
        <v>159</v>
      </c>
      <c r="C83" s="179">
        <f>'Revenue Estimates'!F35</f>
        <v>5915681.2200000007</v>
      </c>
      <c r="D83" s="180">
        <f>D$28/$C$28*$C$83</f>
        <v>259257.90000000008</v>
      </c>
      <c r="E83" s="180">
        <f t="shared" ref="E83:M83" si="57">E28/$C$28*$C$83</f>
        <v>331654.80000000005</v>
      </c>
      <c r="F83" s="180">
        <f t="shared" si="57"/>
        <v>224590.02000000002</v>
      </c>
      <c r="G83" s="180">
        <f t="shared" si="57"/>
        <v>412972.20000000013</v>
      </c>
      <c r="H83" s="180">
        <f t="shared" si="57"/>
        <v>240928.62</v>
      </c>
      <c r="I83" s="180">
        <f t="shared" si="57"/>
        <v>181227.00000000003</v>
      </c>
      <c r="J83" s="180">
        <f t="shared" si="57"/>
        <v>239491.95000000007</v>
      </c>
      <c r="K83" s="180">
        <f t="shared" si="57"/>
        <v>378745.65000000014</v>
      </c>
      <c r="L83" s="180">
        <f t="shared" si="57"/>
        <v>337054.05000000005</v>
      </c>
      <c r="M83" s="180">
        <f t="shared" si="57"/>
        <v>262619.52000000008</v>
      </c>
      <c r="N83" s="174">
        <f>SUM(D83:M83)</f>
        <v>2868541.7100000004</v>
      </c>
      <c r="O83" s="180">
        <f>O28/$C$28*$C$83</f>
        <v>191978.55000000002</v>
      </c>
      <c r="P83" s="180">
        <f>P28/$C$28*$C$83</f>
        <v>0</v>
      </c>
      <c r="Q83" s="180">
        <f>O83+P83</f>
        <v>191978.55000000002</v>
      </c>
      <c r="R83" s="180">
        <f t="shared" ref="R83:W83" si="58">R28/$C$28*$C$83</f>
        <v>537802.8600000001</v>
      </c>
      <c r="S83" s="180">
        <f t="shared" si="58"/>
        <v>742514.25000000012</v>
      </c>
      <c r="T83" s="180">
        <f t="shared" si="58"/>
        <v>1280317.1100000003</v>
      </c>
      <c r="U83" s="180">
        <f t="shared" si="58"/>
        <v>862152.24000000022</v>
      </c>
      <c r="V83" s="180">
        <f t="shared" si="58"/>
        <v>712691.61000000022</v>
      </c>
      <c r="W83" s="180">
        <f t="shared" si="58"/>
        <v>1574843.8500000003</v>
      </c>
    </row>
    <row r="84" spans="1:23" s="178" customFormat="1" ht="18">
      <c r="A84" s="178" t="s">
        <v>98</v>
      </c>
      <c r="C84" s="179">
        <f>'Revenue Estimates'!F30</f>
        <v>2761717.4400000004</v>
      </c>
      <c r="D84" s="180">
        <f t="shared" ref="D84:M84" si="59">D$28/$C$28*$C$84</f>
        <v>121033.74696173643</v>
      </c>
      <c r="E84" s="180">
        <f t="shared" si="59"/>
        <v>154832.01530925496</v>
      </c>
      <c r="F84" s="180">
        <f t="shared" si="59"/>
        <v>104849.15464798303</v>
      </c>
      <c r="G84" s="180">
        <f t="shared" si="59"/>
        <v>192794.79142981413</v>
      </c>
      <c r="H84" s="180">
        <f t="shared" si="59"/>
        <v>112476.77941123623</v>
      </c>
      <c r="I84" s="180">
        <f t="shared" si="59"/>
        <v>84605.263178613284</v>
      </c>
      <c r="J84" s="180">
        <f t="shared" si="59"/>
        <v>111806.07447515709</v>
      </c>
      <c r="K84" s="180">
        <f t="shared" si="59"/>
        <v>176816.23265851644</v>
      </c>
      <c r="L84" s="180">
        <f t="shared" si="59"/>
        <v>157352.63843504267</v>
      </c>
      <c r="M84" s="180">
        <f t="shared" si="59"/>
        <v>122603.10883831381</v>
      </c>
      <c r="N84" s="174">
        <f>SUM(D84:M84)</f>
        <v>1339169.805345668</v>
      </c>
      <c r="O84" s="180">
        <f t="shared" ref="O84:W84" si="60">O$28/$C$28*$C$84</f>
        <v>89624.590968225297</v>
      </c>
      <c r="P84" s="180">
        <f t="shared" si="60"/>
        <v>0</v>
      </c>
      <c r="Q84" s="180">
        <f t="shared" si="60"/>
        <v>89624.590968225297</v>
      </c>
      <c r="R84" s="180">
        <f t="shared" si="60"/>
        <v>251071.59809802577</v>
      </c>
      <c r="S84" s="180">
        <f t="shared" si="60"/>
        <v>346640.47595071734</v>
      </c>
      <c r="T84" s="180">
        <f t="shared" si="60"/>
        <v>597712.07404874312</v>
      </c>
      <c r="U84" s="180">
        <f t="shared" si="60"/>
        <v>402493.10072578018</v>
      </c>
      <c r="V84" s="180">
        <f t="shared" si="60"/>
        <v>332717.86891158397</v>
      </c>
      <c r="W84" s="180">
        <f t="shared" si="60"/>
        <v>735210.96963736415</v>
      </c>
    </row>
    <row r="85" spans="1:23" s="178" customFormat="1" ht="18">
      <c r="A85" s="178" t="s">
        <v>160</v>
      </c>
      <c r="C85" s="179">
        <f>'Revenue Estimates'!F13-'Revenue Estimates'!F12</f>
        <v>6873208.4560723752</v>
      </c>
      <c r="D85" s="180">
        <f t="shared" ref="D85:M85" si="61">D$28/$C$28*$C$85</f>
        <v>301222.04431150306</v>
      </c>
      <c r="E85" s="180">
        <f t="shared" si="61"/>
        <v>385337.29102072748</v>
      </c>
      <c r="F85" s="180">
        <f t="shared" si="61"/>
        <v>260942.73291715066</v>
      </c>
      <c r="G85" s="180">
        <f t="shared" si="61"/>
        <v>479816.93259036238</v>
      </c>
      <c r="H85" s="180">
        <f t="shared" si="61"/>
        <v>279925.94034569158</v>
      </c>
      <c r="I85" s="180">
        <f t="shared" si="61"/>
        <v>210560.86400622994</v>
      </c>
      <c r="J85" s="180">
        <f t="shared" si="61"/>
        <v>278256.72727869923</v>
      </c>
      <c r="K85" s="180">
        <f t="shared" si="61"/>
        <v>440050.38599436713</v>
      </c>
      <c r="L85" s="180">
        <f t="shared" si="61"/>
        <v>391610.47738360742</v>
      </c>
      <c r="M85" s="180">
        <f t="shared" si="61"/>
        <v>305127.78469047876</v>
      </c>
      <c r="N85" s="174">
        <f>SUM(D85:M85)</f>
        <v>3332851.1805388178</v>
      </c>
      <c r="O85" s="180">
        <f t="shared" ref="O85:W85" si="62">O$28/$C$28*$C$85</f>
        <v>223052.68728535599</v>
      </c>
      <c r="P85" s="180">
        <f t="shared" si="62"/>
        <v>0</v>
      </c>
      <c r="Q85" s="180">
        <f t="shared" si="62"/>
        <v>223052.68728535599</v>
      </c>
      <c r="R85" s="180">
        <f t="shared" si="62"/>
        <v>624853.00130014576</v>
      </c>
      <c r="S85" s="180">
        <f t="shared" si="62"/>
        <v>862699.49851257156</v>
      </c>
      <c r="T85" s="180">
        <f t="shared" si="62"/>
        <v>1487552.4998127173</v>
      </c>
      <c r="U85" s="180">
        <f t="shared" si="62"/>
        <v>1001702.3984246637</v>
      </c>
      <c r="V85" s="180">
        <f t="shared" si="62"/>
        <v>828049.6900108211</v>
      </c>
      <c r="W85" s="180">
        <f t="shared" si="62"/>
        <v>1829752.0884354848</v>
      </c>
    </row>
    <row r="86" spans="1:23" s="178" customFormat="1" ht="17.649999999999999">
      <c r="A86" s="187" t="s">
        <v>161</v>
      </c>
      <c r="B86" s="188"/>
      <c r="C86" s="183">
        <f>SUM(C83:C85)</f>
        <v>15550607.116072375</v>
      </c>
      <c r="D86" s="184">
        <f t="shared" ref="D86:W86" si="63">SUM(D83:D85)</f>
        <v>681513.69127323956</v>
      </c>
      <c r="E86" s="184">
        <f t="shared" si="63"/>
        <v>871824.10632998252</v>
      </c>
      <c r="F86" s="184">
        <f t="shared" si="63"/>
        <v>590381.90756513365</v>
      </c>
      <c r="G86" s="184">
        <f t="shared" si="63"/>
        <v>1085583.9240201768</v>
      </c>
      <c r="H86" s="184">
        <f t="shared" si="63"/>
        <v>633331.3397569278</v>
      </c>
      <c r="I86" s="184">
        <f t="shared" si="63"/>
        <v>476393.1271848433</v>
      </c>
      <c r="J86" s="184">
        <f t="shared" si="63"/>
        <v>629554.75175385643</v>
      </c>
      <c r="K86" s="184">
        <f t="shared" si="63"/>
        <v>995612.26865288359</v>
      </c>
      <c r="L86" s="184">
        <f t="shared" si="63"/>
        <v>886017.16581865016</v>
      </c>
      <c r="M86" s="184">
        <f t="shared" si="63"/>
        <v>690350.41352879256</v>
      </c>
      <c r="N86" s="185">
        <f t="shared" si="63"/>
        <v>7540562.6958844867</v>
      </c>
      <c r="O86" s="184">
        <f t="shared" si="63"/>
        <v>504655.82825358131</v>
      </c>
      <c r="P86" s="184">
        <f t="shared" si="63"/>
        <v>0</v>
      </c>
      <c r="Q86" s="185">
        <f t="shared" si="63"/>
        <v>504655.82825358131</v>
      </c>
      <c r="R86" s="184">
        <f t="shared" si="63"/>
        <v>1413727.4593981716</v>
      </c>
      <c r="S86" s="184">
        <f t="shared" si="63"/>
        <v>1951854.2244632891</v>
      </c>
      <c r="T86" s="185">
        <f t="shared" si="63"/>
        <v>3365581.6838614605</v>
      </c>
      <c r="U86" s="184">
        <f t="shared" si="63"/>
        <v>2266347.739150444</v>
      </c>
      <c r="V86" s="184">
        <f t="shared" si="63"/>
        <v>1873459.1689224052</v>
      </c>
      <c r="W86" s="189">
        <f t="shared" si="63"/>
        <v>4139806.9080728497</v>
      </c>
    </row>
    <row r="88" spans="1:23" s="178" customFormat="1" ht="18">
      <c r="A88" s="178" t="s">
        <v>196</v>
      </c>
      <c r="C88" s="179">
        <f>SUM(N88,Q88,T88,W88)</f>
        <v>58436999</v>
      </c>
      <c r="D88" s="180">
        <v>2810608</v>
      </c>
      <c r="E88" s="180">
        <v>3154560</v>
      </c>
      <c r="F88" s="180">
        <v>2296871</v>
      </c>
      <c r="G88" s="180">
        <v>3813195</v>
      </c>
      <c r="H88" s="193">
        <v>2609087</v>
      </c>
      <c r="I88" s="193">
        <v>2216527</v>
      </c>
      <c r="J88" s="193">
        <v>2557757</v>
      </c>
      <c r="K88" s="193">
        <v>3236888</v>
      </c>
      <c r="L88" s="193">
        <v>3088661</v>
      </c>
      <c r="M88" s="193">
        <v>2967527</v>
      </c>
      <c r="N88" s="181">
        <f>SUM(D88:M88)</f>
        <v>28751681</v>
      </c>
      <c r="O88" s="193">
        <v>2932289</v>
      </c>
      <c r="P88" s="180">
        <v>0</v>
      </c>
      <c r="Q88" s="181">
        <f>SUM(O88:P88)</f>
        <v>2932289</v>
      </c>
      <c r="R88" s="193">
        <v>5182996</v>
      </c>
      <c r="S88" s="193">
        <v>5920704</v>
      </c>
      <c r="T88" s="181">
        <f>SUM(R88:S88)</f>
        <v>11103700</v>
      </c>
      <c r="U88" s="193">
        <v>8488786</v>
      </c>
      <c r="V88" s="193">
        <v>7160543</v>
      </c>
      <c r="W88" s="182">
        <f>SUM(U88:V88)</f>
        <v>15649329</v>
      </c>
    </row>
    <row r="89" spans="1:23" s="178" customFormat="1" ht="18">
      <c r="A89" s="178" t="s">
        <v>36</v>
      </c>
      <c r="C89" s="179">
        <f>SUM(N89,Q89,T89,W89)</f>
        <v>7500000</v>
      </c>
      <c r="D89" s="180">
        <v>500000</v>
      </c>
      <c r="E89" s="180">
        <v>500000</v>
      </c>
      <c r="F89" s="180">
        <v>500000</v>
      </c>
      <c r="G89" s="180">
        <v>500000</v>
      </c>
      <c r="H89" s="180">
        <v>500000</v>
      </c>
      <c r="I89" s="180">
        <v>500000</v>
      </c>
      <c r="J89" s="180">
        <v>500000</v>
      </c>
      <c r="K89" s="180">
        <v>500000</v>
      </c>
      <c r="L89" s="180">
        <v>500000</v>
      </c>
      <c r="M89" s="180">
        <v>500000</v>
      </c>
      <c r="N89" s="181">
        <f>SUM(D89:M89)</f>
        <v>5000000</v>
      </c>
      <c r="O89" s="180">
        <v>500000</v>
      </c>
      <c r="P89" s="180">
        <v>0</v>
      </c>
      <c r="Q89" s="181">
        <f>SUM(O89:P89)</f>
        <v>500000</v>
      </c>
      <c r="R89" s="180">
        <v>500000</v>
      </c>
      <c r="S89" s="180">
        <v>500000</v>
      </c>
      <c r="T89" s="181">
        <f>SUM(R89:S89)</f>
        <v>1000000</v>
      </c>
      <c r="U89" s="180">
        <v>500000</v>
      </c>
      <c r="V89" s="180">
        <v>500000</v>
      </c>
      <c r="W89" s="182">
        <f>SUM(U89:V89)</f>
        <v>1000000</v>
      </c>
    </row>
    <row r="90" spans="1:23" s="178" customFormat="1" ht="18">
      <c r="A90" s="178" t="s">
        <v>157</v>
      </c>
      <c r="C90" s="179">
        <f>C21</f>
        <v>3002885.8048539828</v>
      </c>
      <c r="D90" s="180">
        <f>D21</f>
        <v>149527.57848056729</v>
      </c>
      <c r="E90" s="180">
        <f t="shared" ref="E90:W90" si="64">E21</f>
        <v>187515.00627342425</v>
      </c>
      <c r="F90" s="180">
        <f t="shared" si="64"/>
        <v>130861.03450841487</v>
      </c>
      <c r="G90" s="180">
        <f t="shared" si="64"/>
        <v>229383.49759073072</v>
      </c>
      <c r="H90" s="180">
        <f t="shared" si="64"/>
        <v>139910.83729206579</v>
      </c>
      <c r="I90" s="180">
        <f t="shared" si="64"/>
        <v>106072.93313927422</v>
      </c>
      <c r="J90" s="180">
        <f t="shared" si="64"/>
        <v>139155.64492394199</v>
      </c>
      <c r="K90" s="180">
        <f t="shared" si="64"/>
        <v>212154.46326128469</v>
      </c>
      <c r="L90" s="180">
        <f t="shared" si="64"/>
        <v>190347.49804189117</v>
      </c>
      <c r="M90" s="180">
        <f t="shared" si="64"/>
        <v>151291.77456900218</v>
      </c>
      <c r="N90" s="180">
        <f t="shared" si="64"/>
        <v>1536883.3466833634</v>
      </c>
      <c r="O90" s="180">
        <f t="shared" si="64"/>
        <v>112219.50848101849</v>
      </c>
      <c r="P90" s="180">
        <f t="shared" si="64"/>
        <v>0</v>
      </c>
      <c r="Q90" s="180">
        <f t="shared" si="64"/>
        <v>104960.41392291189</v>
      </c>
      <c r="R90" s="180">
        <f t="shared" si="64"/>
        <v>292218.55463620281</v>
      </c>
      <c r="S90" s="180">
        <f t="shared" si="64"/>
        <v>393954.49508255825</v>
      </c>
      <c r="T90" s="180">
        <f t="shared" si="64"/>
        <v>647947.55172895419</v>
      </c>
      <c r="U90" s="180">
        <f t="shared" si="64"/>
        <v>450091.83957660827</v>
      </c>
      <c r="V90" s="180">
        <f t="shared" si="64"/>
        <v>379962.54767514823</v>
      </c>
      <c r="W90" s="180">
        <f t="shared" si="64"/>
        <v>784550.77229878993</v>
      </c>
    </row>
    <row r="91" spans="1:23" s="178" customFormat="1" ht="18">
      <c r="A91" s="178" t="s">
        <v>162</v>
      </c>
      <c r="C91" s="179">
        <f>C53*C27</f>
        <v>2157840</v>
      </c>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row>
    <row r="92" spans="1:23" ht="17.649999999999999">
      <c r="A92" s="19" t="s">
        <v>197</v>
      </c>
      <c r="B92" s="4"/>
      <c r="C92" s="147">
        <f>SUM(C88:C91)</f>
        <v>71097724.804853976</v>
      </c>
      <c r="D92" s="48">
        <f t="shared" ref="D92:W92" si="65">SUM(D88:D91)</f>
        <v>3460135.5784805673</v>
      </c>
      <c r="E92" s="48">
        <f t="shared" si="65"/>
        <v>3842075.0062734243</v>
      </c>
      <c r="F92" s="48">
        <f t="shared" si="65"/>
        <v>2927732.034508415</v>
      </c>
      <c r="G92" s="48">
        <f t="shared" si="65"/>
        <v>4542578.4975907309</v>
      </c>
      <c r="H92" s="48">
        <f t="shared" si="65"/>
        <v>3248997.8372920658</v>
      </c>
      <c r="I92" s="48">
        <f t="shared" si="65"/>
        <v>2822599.9331392744</v>
      </c>
      <c r="J92" s="48">
        <f t="shared" si="65"/>
        <v>3196912.6449239422</v>
      </c>
      <c r="K92" s="48">
        <f t="shared" si="65"/>
        <v>3949042.4632612849</v>
      </c>
      <c r="L92" s="48">
        <f t="shared" si="65"/>
        <v>3779008.498041891</v>
      </c>
      <c r="M92" s="48">
        <f t="shared" si="65"/>
        <v>3618818.774569002</v>
      </c>
      <c r="N92" s="173">
        <f t="shared" si="65"/>
        <v>35288564.346683361</v>
      </c>
      <c r="O92" s="48">
        <f t="shared" si="65"/>
        <v>3544508.5084810187</v>
      </c>
      <c r="P92" s="48">
        <f t="shared" si="65"/>
        <v>0</v>
      </c>
      <c r="Q92" s="173">
        <f t="shared" si="65"/>
        <v>3537249.413922912</v>
      </c>
      <c r="R92" s="48">
        <f t="shared" si="65"/>
        <v>5975214.5546362028</v>
      </c>
      <c r="S92" s="48">
        <f t="shared" si="65"/>
        <v>6814658.4950825581</v>
      </c>
      <c r="T92" s="173">
        <f t="shared" si="65"/>
        <v>12751647.551728955</v>
      </c>
      <c r="U92" s="48">
        <f t="shared" si="65"/>
        <v>9438877.8395766076</v>
      </c>
      <c r="V92" s="48">
        <f t="shared" si="65"/>
        <v>8040505.5476751486</v>
      </c>
      <c r="W92" s="70">
        <f t="shared" si="65"/>
        <v>17433879.772298791</v>
      </c>
    </row>
    <row r="93" spans="1:23" s="178" customFormat="1" ht="10.5" customHeight="1">
      <c r="C93" s="179"/>
      <c r="D93" s="180"/>
      <c r="E93" s="180"/>
      <c r="F93" s="180"/>
      <c r="G93" s="180"/>
      <c r="H93" s="180"/>
      <c r="I93" s="180"/>
      <c r="J93" s="180"/>
      <c r="K93" s="180"/>
      <c r="L93" s="180"/>
      <c r="M93" s="180"/>
      <c r="N93" s="181"/>
      <c r="O93" s="180"/>
      <c r="P93" s="180"/>
      <c r="Q93" s="181"/>
      <c r="R93" s="180"/>
      <c r="S93" s="180"/>
      <c r="T93" s="181"/>
      <c r="U93" s="180"/>
      <c r="V93" s="180"/>
      <c r="W93" s="182"/>
    </row>
    <row r="95" spans="1:23">
      <c r="A95" t="s">
        <v>166</v>
      </c>
      <c r="D95" s="186"/>
    </row>
    <row r="96" spans="1:23">
      <c r="A96" t="s">
        <v>191</v>
      </c>
    </row>
    <row r="97" spans="1:1">
      <c r="A97" t="s">
        <v>168</v>
      </c>
    </row>
    <row r="98" spans="1:1">
      <c r="A98" t="s">
        <v>170</v>
      </c>
    </row>
    <row r="99" spans="1:1">
      <c r="A99" t="s">
        <v>172</v>
      </c>
    </row>
    <row r="100" spans="1:1">
      <c r="A100" t="s">
        <v>182</v>
      </c>
    </row>
    <row r="101" spans="1:1">
      <c r="A101" t="s">
        <v>186</v>
      </c>
    </row>
    <row r="102" spans="1:1">
      <c r="A102" t="s">
        <v>190</v>
      </c>
    </row>
    <row r="103" spans="1:1">
      <c r="A103" t="s">
        <v>193</v>
      </c>
    </row>
    <row r="104" spans="1:1">
      <c r="A104" t="s">
        <v>194</v>
      </c>
    </row>
  </sheetData>
  <pageMargins left="0.7" right="0.7" top="0.25" bottom="0.25" header="0.3" footer="0.3"/>
  <pageSetup paperSize="5" scale="72" fitToHeight="0" orientation="landscape" r:id="rId1"/>
  <rowBreaks count="1" manualBreakCount="1">
    <brk id="25"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2CDD4-1246-44C1-BA04-2ABF120285EA}">
  <dimension ref="B1:K78"/>
  <sheetViews>
    <sheetView tabSelected="1" workbookViewId="0">
      <selection activeCell="E12" sqref="E12"/>
    </sheetView>
  </sheetViews>
  <sheetFormatPr defaultColWidth="9.1328125" defaultRowHeight="14.25"/>
  <cols>
    <col min="1" max="1" width="3.86328125" style="78" customWidth="1"/>
    <col min="2" max="2" width="25.265625" style="78" bestFit="1" customWidth="1"/>
    <col min="3" max="3" width="18" style="78" bestFit="1" customWidth="1"/>
    <col min="4" max="4" width="8.73046875" style="78" customWidth="1"/>
    <col min="5" max="5" width="81" style="78" bestFit="1" customWidth="1"/>
    <col min="6" max="6" width="16.86328125" style="78" bestFit="1" customWidth="1"/>
    <col min="7" max="7" width="14.265625" style="78" bestFit="1" customWidth="1"/>
    <col min="8" max="8" width="49" style="78" bestFit="1" customWidth="1"/>
    <col min="9" max="9" width="18" style="78" bestFit="1" customWidth="1"/>
    <col min="10" max="10" width="17.86328125" style="79" bestFit="1" customWidth="1"/>
    <col min="11" max="16384" width="9.1328125" style="78"/>
  </cols>
  <sheetData>
    <row r="1" spans="2:10" ht="14.65" thickBot="1"/>
    <row r="2" spans="2:10" ht="14.65" thickBot="1">
      <c r="B2" s="201" t="s">
        <v>60</v>
      </c>
      <c r="C2" s="202"/>
      <c r="E2" s="199" t="s">
        <v>61</v>
      </c>
      <c r="F2" s="200"/>
    </row>
    <row r="3" spans="2:10">
      <c r="B3" s="80" t="s">
        <v>62</v>
      </c>
      <c r="C3" s="81">
        <v>4933531411</v>
      </c>
      <c r="E3" s="82" t="s">
        <v>63</v>
      </c>
      <c r="F3" s="83">
        <f>(35000/4)*0.1*2*1023</f>
        <v>1790250</v>
      </c>
      <c r="H3" s="84" t="s">
        <v>64</v>
      </c>
      <c r="I3" s="85" t="s">
        <v>65</v>
      </c>
      <c r="J3" s="86" t="s">
        <v>66</v>
      </c>
    </row>
    <row r="4" spans="2:10">
      <c r="B4" s="80" t="s">
        <v>67</v>
      </c>
      <c r="C4" s="81">
        <v>6660</v>
      </c>
      <c r="E4" s="82" t="s">
        <v>68</v>
      </c>
      <c r="F4" s="87">
        <f>275*I19</f>
        <v>1732494.5000000002</v>
      </c>
      <c r="H4" s="82" t="s">
        <v>69</v>
      </c>
      <c r="I4" s="78">
        <v>276.10000000000002</v>
      </c>
      <c r="J4" s="87">
        <f>IF(I4&lt;=150,122.85+(I4-75)*1.27,IF(I4&lt;=249,218.1+(1.08*(I4-150)),IF(I4&lt;=399,326.1+(0.97*(I4-250)),IF(I4&lt;=749,471.6+(0.92*(I4-400)),IF(I4&gt;=750,793.6+(0.84*(I4-750)),0)))))</f>
        <v>351.41700000000003</v>
      </c>
    </row>
    <row r="5" spans="2:10">
      <c r="B5" s="80" t="s">
        <v>70</v>
      </c>
      <c r="C5" s="88">
        <v>1.07</v>
      </c>
      <c r="E5" s="82" t="s">
        <v>71</v>
      </c>
      <c r="F5" s="87">
        <v>17124</v>
      </c>
      <c r="H5" s="82" t="s">
        <v>72</v>
      </c>
      <c r="I5" s="78">
        <v>353.2</v>
      </c>
      <c r="J5" s="87">
        <f>IF(I5&lt;=150,122.85+(I5-75)*1.27,IF(I5&lt;=249,218.1+(1.08*(I5-150)),IF(I5&lt;=399,326.1+(0.97*(I5-250)),IF(I5&lt;=749,471.6+(0.92*(I5-400)),IF(I5&gt;=750,793.6+(0.84*(I5-750)),0)))))</f>
        <v>426.20400000000001</v>
      </c>
    </row>
    <row r="6" spans="2:10">
      <c r="B6" s="80" t="s">
        <v>73</v>
      </c>
      <c r="C6" s="88">
        <v>1.2</v>
      </c>
      <c r="E6" s="82" t="s">
        <v>74</v>
      </c>
      <c r="F6" s="87">
        <f>21219/19233*I19</f>
        <v>6950.5160723756053</v>
      </c>
      <c r="H6" s="190" t="s">
        <v>195</v>
      </c>
      <c r="I6" s="78">
        <v>239.18</v>
      </c>
      <c r="J6" s="87">
        <f t="shared" ref="J6:J18" si="0">IF(I6&lt;=150,122.85+(I6-75)*1.27,IF(I6&lt;=249,218.1+(1.08*(I6-150)),IF(I6&lt;=399,326.1+(0.97*(I6-250)),IF(I6&lt;=749,471.6+(0.92*(I6-400)),IF(I6&gt;=750,793.6+(0.84*(I6-750)),0)))))</f>
        <v>314.4144</v>
      </c>
    </row>
    <row r="7" spans="2:10">
      <c r="B7" s="80" t="s">
        <v>75</v>
      </c>
      <c r="C7" s="88">
        <v>1.0149999999999999</v>
      </c>
      <c r="E7" s="82" t="s">
        <v>76</v>
      </c>
      <c r="F7" s="87">
        <f>85*I19</f>
        <v>535498.30000000005</v>
      </c>
      <c r="H7" s="82" t="s">
        <v>77</v>
      </c>
      <c r="I7" s="78">
        <v>439.8</v>
      </c>
      <c r="J7" s="87">
        <f t="shared" si="0"/>
        <v>508.21600000000001</v>
      </c>
    </row>
    <row r="8" spans="2:10">
      <c r="B8" s="80" t="s">
        <v>78</v>
      </c>
      <c r="C8" s="88">
        <v>0.9</v>
      </c>
      <c r="E8" s="82" t="s">
        <v>79</v>
      </c>
      <c r="F8" s="87">
        <f>5*I19</f>
        <v>31499.9</v>
      </c>
      <c r="H8" s="82" t="s">
        <v>54</v>
      </c>
      <c r="I8" s="78">
        <v>918.16</v>
      </c>
      <c r="J8" s="87">
        <f t="shared" si="0"/>
        <v>934.85439999999994</v>
      </c>
    </row>
    <row r="9" spans="2:10">
      <c r="B9" s="80" t="s">
        <v>81</v>
      </c>
      <c r="C9" s="88">
        <f>'FY24 Charter Calculator'!C29</f>
        <v>360</v>
      </c>
      <c r="E9" s="82" t="s">
        <v>82</v>
      </c>
      <c r="F9" s="87">
        <f>48*I19</f>
        <v>302399.04000000004</v>
      </c>
      <c r="H9" s="82" t="s">
        <v>96</v>
      </c>
      <c r="I9" s="78">
        <v>204.45</v>
      </c>
      <c r="J9" s="87">
        <f t="shared" si="0"/>
        <v>276.90600000000001</v>
      </c>
    </row>
    <row r="10" spans="2:10">
      <c r="B10" s="80" t="s">
        <v>84</v>
      </c>
      <c r="C10" s="89">
        <f>'FY24 Charter Calculator'!C47</f>
        <v>164</v>
      </c>
      <c r="E10" s="82" t="s">
        <v>85</v>
      </c>
      <c r="F10" s="87">
        <v>0</v>
      </c>
      <c r="H10" s="82" t="s">
        <v>80</v>
      </c>
      <c r="I10" s="78">
        <v>256.58</v>
      </c>
      <c r="J10" s="87">
        <f t="shared" si="0"/>
        <v>332.48259999999999</v>
      </c>
    </row>
    <row r="11" spans="2:10">
      <c r="B11" s="80" t="s">
        <v>87</v>
      </c>
      <c r="C11" s="88">
        <v>13</v>
      </c>
      <c r="E11" s="82" t="s">
        <v>88</v>
      </c>
      <c r="F11" s="87">
        <f>390*I19</f>
        <v>2456992.2000000002</v>
      </c>
      <c r="H11" s="82" t="s">
        <v>55</v>
      </c>
      <c r="I11" s="78">
        <v>758.99</v>
      </c>
      <c r="J11" s="87">
        <f t="shared" si="0"/>
        <v>801.15160000000003</v>
      </c>
    </row>
    <row r="12" spans="2:10">
      <c r="B12" s="80" t="s">
        <v>90</v>
      </c>
      <c r="C12" s="81">
        <v>939</v>
      </c>
      <c r="E12" s="82" t="s">
        <v>91</v>
      </c>
      <c r="F12" s="87">
        <f>I42</f>
        <v>12017853.842816122</v>
      </c>
      <c r="H12" s="82" t="s">
        <v>83</v>
      </c>
      <c r="I12" s="78">
        <v>193</v>
      </c>
      <c r="J12" s="87">
        <f t="shared" si="0"/>
        <v>264.54000000000002</v>
      </c>
    </row>
    <row r="13" spans="2:10" ht="14.65" thickBot="1">
      <c r="B13" s="90" t="s">
        <v>93</v>
      </c>
      <c r="C13" s="91">
        <f>'FY24 Charter Calculator'!C64</f>
        <v>0.83529898281456139</v>
      </c>
      <c r="E13" s="92" t="s">
        <v>94</v>
      </c>
      <c r="F13" s="93">
        <f>SUM(F3:F12)</f>
        <v>18891062.298888497</v>
      </c>
      <c r="G13" s="196"/>
      <c r="H13" s="82" t="s">
        <v>49</v>
      </c>
      <c r="I13" s="78">
        <v>790.75</v>
      </c>
      <c r="J13" s="87">
        <f t="shared" si="0"/>
        <v>827.83</v>
      </c>
    </row>
    <row r="14" spans="2:10" ht="14.65" thickBot="1">
      <c r="E14" s="82"/>
      <c r="F14" s="94"/>
      <c r="H14" s="82" t="s">
        <v>86</v>
      </c>
      <c r="I14" s="78">
        <v>255.05</v>
      </c>
      <c r="J14" s="87">
        <f t="shared" si="0"/>
        <v>330.99850000000004</v>
      </c>
    </row>
    <row r="15" spans="2:10" ht="14.65" thickBot="1">
      <c r="B15" s="203" t="s">
        <v>97</v>
      </c>
      <c r="C15" s="204"/>
      <c r="E15" s="199" t="s">
        <v>98</v>
      </c>
      <c r="F15" s="200"/>
      <c r="H15" s="82" t="s">
        <v>48</v>
      </c>
      <c r="I15" s="78">
        <v>572.74</v>
      </c>
      <c r="J15" s="87">
        <f t="shared" si="0"/>
        <v>630.52080000000001</v>
      </c>
    </row>
    <row r="16" spans="2:10">
      <c r="B16" s="95" t="s">
        <v>99</v>
      </c>
      <c r="C16" s="96">
        <f>F13+F30</f>
        <v>21652779.738888498</v>
      </c>
      <c r="E16" s="82" t="s">
        <v>100</v>
      </c>
      <c r="F16" s="87">
        <v>0</v>
      </c>
      <c r="H16" s="82" t="s">
        <v>89</v>
      </c>
      <c r="I16" s="78">
        <v>403.35</v>
      </c>
      <c r="J16" s="87">
        <f t="shared" si="0"/>
        <v>474.68200000000002</v>
      </c>
    </row>
    <row r="17" spans="2:10">
      <c r="B17" s="97" t="s">
        <v>101</v>
      </c>
      <c r="C17" s="98">
        <f>F44</f>
        <v>63396150.417827837</v>
      </c>
      <c r="E17" s="82" t="s">
        <v>102</v>
      </c>
      <c r="F17" s="87">
        <f>33*I19</f>
        <v>207899.34000000003</v>
      </c>
      <c r="H17" s="82" t="s">
        <v>92</v>
      </c>
      <c r="I17" s="78">
        <v>358.95</v>
      </c>
      <c r="J17" s="87">
        <f t="shared" si="0"/>
        <v>431.78149999999999</v>
      </c>
    </row>
    <row r="18" spans="2:10">
      <c r="B18" s="99" t="s">
        <v>103</v>
      </c>
      <c r="C18" s="100">
        <f>F50</f>
        <v>13073858.239150001</v>
      </c>
      <c r="E18" s="82" t="s">
        <v>104</v>
      </c>
      <c r="F18" s="87">
        <f>4*I19</f>
        <v>25199.920000000002</v>
      </c>
      <c r="H18" s="82" t="s">
        <v>95</v>
      </c>
      <c r="I18" s="192">
        <v>279.68</v>
      </c>
      <c r="J18" s="87">
        <f t="shared" si="0"/>
        <v>354.88960000000003</v>
      </c>
    </row>
    <row r="19" spans="2:10" ht="14.65" thickBot="1">
      <c r="B19" s="101" t="s">
        <v>105</v>
      </c>
      <c r="C19" s="102">
        <f>SUM(C16:C18)</f>
        <v>98122788.395866334</v>
      </c>
      <c r="E19" s="82" t="s">
        <v>106</v>
      </c>
      <c r="F19" s="87">
        <f>2*I19</f>
        <v>12599.960000000001</v>
      </c>
      <c r="H19" s="103" t="s">
        <v>108</v>
      </c>
      <c r="I19" s="191">
        <f>SUM(I4:I18)</f>
        <v>6299.9800000000005</v>
      </c>
      <c r="J19" s="104">
        <f>SUM(J4:J18)</f>
        <v>7260.8884000000007</v>
      </c>
    </row>
    <row r="20" spans="2:10" ht="14.65" thickBot="1">
      <c r="E20" s="82" t="s">
        <v>107</v>
      </c>
      <c r="F20" s="87">
        <f>17*I19</f>
        <v>107099.66</v>
      </c>
    </row>
    <row r="21" spans="2:10">
      <c r="E21" s="82" t="s">
        <v>109</v>
      </c>
      <c r="F21" s="87">
        <v>0</v>
      </c>
      <c r="H21" s="197" t="s">
        <v>111</v>
      </c>
      <c r="I21" s="198"/>
    </row>
    <row r="22" spans="2:10">
      <c r="E22" s="82" t="s">
        <v>110</v>
      </c>
      <c r="F22" s="87">
        <v>380325</v>
      </c>
      <c r="H22" s="82" t="s">
        <v>113</v>
      </c>
      <c r="I22" s="83">
        <f>C4*J19*C6*C7*C5</f>
        <v>63022417.271785438</v>
      </c>
    </row>
    <row r="23" spans="2:10">
      <c r="E23" s="82" t="s">
        <v>112</v>
      </c>
      <c r="F23" s="87">
        <f>4*I19</f>
        <v>25199.920000000002</v>
      </c>
      <c r="H23" s="82" t="s">
        <v>115</v>
      </c>
      <c r="I23" s="83">
        <f>C9*C4*C8</f>
        <v>2157840</v>
      </c>
    </row>
    <row r="24" spans="2:10">
      <c r="E24" s="82" t="s">
        <v>114</v>
      </c>
      <c r="F24" s="87">
        <v>0</v>
      </c>
      <c r="H24" s="105" t="s">
        <v>117</v>
      </c>
      <c r="I24" s="106">
        <f>C11*C4*C10</f>
        <v>14199120</v>
      </c>
    </row>
    <row r="25" spans="2:10">
      <c r="E25" s="82" t="s">
        <v>116</v>
      </c>
      <c r="F25" s="87">
        <v>0</v>
      </c>
      <c r="H25" s="82" t="s">
        <v>119</v>
      </c>
      <c r="I25" s="83">
        <f>I22+I23+I24</f>
        <v>79379377.271785438</v>
      </c>
    </row>
    <row r="26" spans="2:10">
      <c r="E26" s="82" t="s">
        <v>118</v>
      </c>
      <c r="F26" s="87">
        <f>241*I19</f>
        <v>1518295.1800000002</v>
      </c>
      <c r="H26" s="82" t="s">
        <v>121</v>
      </c>
      <c r="I26" s="83">
        <f>MIN(I25*0.45,C3*0.00265)</f>
        <v>13073858.239150001</v>
      </c>
    </row>
    <row r="27" spans="2:10">
      <c r="E27" s="82" t="s">
        <v>120</v>
      </c>
      <c r="F27" s="87">
        <v>0</v>
      </c>
      <c r="H27" s="105" t="s">
        <v>123</v>
      </c>
      <c r="I27" s="106">
        <f>F12*C13*0.9</f>
        <v>9034650.9814665373</v>
      </c>
    </row>
    <row r="28" spans="2:10" ht="14.65" thickBot="1">
      <c r="E28" s="82" t="s">
        <v>122</v>
      </c>
      <c r="F28" s="87">
        <f>27*I19</f>
        <v>170099.46000000002</v>
      </c>
      <c r="H28" s="107" t="s">
        <v>125</v>
      </c>
      <c r="I28" s="108">
        <f>I25-I26-I27</f>
        <v>57270868.051168896</v>
      </c>
    </row>
    <row r="29" spans="2:10" ht="14.65" thickBot="1">
      <c r="E29" s="82" t="s">
        <v>124</v>
      </c>
      <c r="F29" s="87">
        <f>50*I19</f>
        <v>314999</v>
      </c>
    </row>
    <row r="30" spans="2:10" ht="14.65" thickBot="1">
      <c r="E30" s="92" t="s">
        <v>126</v>
      </c>
      <c r="F30" s="93">
        <f>SUM(F16:F29)</f>
        <v>2761717.4400000004</v>
      </c>
      <c r="H30" s="197" t="s">
        <v>127</v>
      </c>
      <c r="I30" s="198"/>
      <c r="J30" s="78"/>
    </row>
    <row r="31" spans="2:10" ht="14.65" thickBot="1">
      <c r="E31" s="82"/>
      <c r="F31" s="94"/>
      <c r="H31" s="82" t="s">
        <v>129</v>
      </c>
      <c r="I31" s="109">
        <f>I5+I16+I18</f>
        <v>1036.23</v>
      </c>
      <c r="J31" s="78"/>
    </row>
    <row r="32" spans="2:10">
      <c r="E32" s="199" t="s">
        <v>128</v>
      </c>
      <c r="F32" s="200"/>
      <c r="H32" s="82" t="s">
        <v>131</v>
      </c>
      <c r="I32" s="109">
        <f>((((18844-(15288*0.55))*0.67)-I31)*0.12)</f>
        <v>714.67463999999995</v>
      </c>
      <c r="J32" s="78"/>
    </row>
    <row r="33" spans="5:11">
      <c r="E33" s="82" t="s">
        <v>130</v>
      </c>
      <c r="F33" s="110">
        <f>I28</f>
        <v>57270868.051168896</v>
      </c>
      <c r="H33" s="82" t="s">
        <v>133</v>
      </c>
      <c r="I33" s="109">
        <v>0</v>
      </c>
      <c r="J33" s="78"/>
    </row>
    <row r="34" spans="5:11">
      <c r="E34" s="82" t="s">
        <v>132</v>
      </c>
      <c r="F34" s="87">
        <f>16*(J19*C5*C6*C7+C9*C8+C10*C11)</f>
        <v>190701.20665894399</v>
      </c>
      <c r="H34" s="105" t="s">
        <v>135</v>
      </c>
      <c r="I34" s="111">
        <v>0</v>
      </c>
      <c r="J34" s="78"/>
    </row>
    <row r="35" spans="5:11">
      <c r="E35" s="82" t="s">
        <v>134</v>
      </c>
      <c r="F35" s="87">
        <f>C12*I19</f>
        <v>5915681.2200000007</v>
      </c>
      <c r="H35" s="82" t="s">
        <v>137</v>
      </c>
      <c r="I35" s="109">
        <f>I31/0.46+IF(I32&gt;=I19*0.1,I32*0.05,0)+I33*0.1+I34*1.25</f>
        <v>2288.4076450434782</v>
      </c>
      <c r="J35" s="78"/>
      <c r="K35" s="194"/>
    </row>
    <row r="36" spans="5:11">
      <c r="E36" s="82" t="s">
        <v>136</v>
      </c>
      <c r="F36" s="87">
        <v>0</v>
      </c>
      <c r="H36" s="82" t="s">
        <v>139</v>
      </c>
      <c r="I36" s="83">
        <v>19447.063366413098</v>
      </c>
      <c r="J36" s="78"/>
    </row>
    <row r="37" spans="5:11">
      <c r="E37" s="82" t="s">
        <v>138</v>
      </c>
      <c r="F37" s="87">
        <v>0</v>
      </c>
      <c r="H37" s="82" t="s">
        <v>141</v>
      </c>
      <c r="I37" s="110">
        <f>I36*I35/2</f>
        <v>22251404.240672346</v>
      </c>
      <c r="J37" s="78"/>
    </row>
    <row r="38" spans="5:11">
      <c r="E38" s="82" t="s">
        <v>140</v>
      </c>
      <c r="F38" s="87">
        <v>0</v>
      </c>
      <c r="H38" s="82" t="s">
        <v>143</v>
      </c>
      <c r="I38" s="110">
        <f>13472*I19</f>
        <v>84873330.560000002</v>
      </c>
      <c r="J38" s="78"/>
    </row>
    <row r="39" spans="5:11">
      <c r="E39" s="82" t="s">
        <v>142</v>
      </c>
      <c r="F39" s="87">
        <v>0</v>
      </c>
      <c r="H39" s="82" t="s">
        <v>145</v>
      </c>
      <c r="I39" s="112">
        <f>I37/I38</f>
        <v>0.26217192248561555</v>
      </c>
      <c r="J39" s="78"/>
    </row>
    <row r="40" spans="5:11">
      <c r="E40" s="82" t="s">
        <v>144</v>
      </c>
      <c r="F40" s="87">
        <f>3*I19</f>
        <v>18899.940000000002</v>
      </c>
      <c r="H40" s="82" t="s">
        <v>147</v>
      </c>
      <c r="I40" s="112">
        <f>SUM(I31:I34)/I19</f>
        <v>0.27792225372144036</v>
      </c>
      <c r="J40" s="78"/>
    </row>
    <row r="41" spans="5:11">
      <c r="E41" s="82" t="s">
        <v>146</v>
      </c>
      <c r="F41" s="87">
        <v>0</v>
      </c>
      <c r="H41" s="82" t="s">
        <v>149</v>
      </c>
      <c r="I41" s="113">
        <f>I39+I40</f>
        <v>0.54009417620705591</v>
      </c>
      <c r="J41" s="78"/>
    </row>
    <row r="42" spans="5:11" ht="14.65" thickBot="1">
      <c r="E42" s="82" t="s">
        <v>148</v>
      </c>
      <c r="F42" s="87">
        <v>0</v>
      </c>
      <c r="H42" s="114" t="s">
        <v>151</v>
      </c>
      <c r="I42" s="115">
        <f>I41*I37</f>
        <v>12017853.842816122</v>
      </c>
      <c r="J42" s="78"/>
    </row>
    <row r="43" spans="5:11">
      <c r="E43" s="82" t="s">
        <v>150</v>
      </c>
      <c r="F43" s="87">
        <v>0</v>
      </c>
      <c r="I43" s="79"/>
      <c r="J43" s="78"/>
    </row>
    <row r="44" spans="5:11" ht="14.65" thickBot="1">
      <c r="E44" s="92" t="s">
        <v>158</v>
      </c>
      <c r="F44" s="93">
        <f>SUM(F33:F43)</f>
        <v>63396150.417827837</v>
      </c>
      <c r="I44" s="196">
        <f>I42*C13</f>
        <v>10038501.090518374</v>
      </c>
    </row>
    <row r="45" spans="5:11" ht="14.65" thickBot="1">
      <c r="E45" s="82"/>
      <c r="F45" s="94"/>
    </row>
    <row r="46" spans="5:11">
      <c r="E46" s="199" t="s">
        <v>152</v>
      </c>
      <c r="F46" s="200"/>
    </row>
    <row r="47" spans="5:11">
      <c r="E47" s="82" t="s">
        <v>121</v>
      </c>
      <c r="F47" s="110">
        <f>I26-F49</f>
        <v>10573858.239150001</v>
      </c>
    </row>
    <row r="48" spans="5:11">
      <c r="E48" s="82" t="s">
        <v>153</v>
      </c>
      <c r="F48" s="110">
        <v>0</v>
      </c>
    </row>
    <row r="49" spans="5:6">
      <c r="E49" s="82" t="s">
        <v>154</v>
      </c>
      <c r="F49" s="110">
        <v>2500000</v>
      </c>
    </row>
    <row r="50" spans="5:6">
      <c r="E50" s="116" t="s">
        <v>155</v>
      </c>
      <c r="F50" s="117">
        <f>SUM(F46:F49)</f>
        <v>13073858.239150001</v>
      </c>
    </row>
    <row r="51" spans="5:6" ht="14.65" thickBot="1">
      <c r="E51" s="118" t="s">
        <v>156</v>
      </c>
      <c r="F51" s="119">
        <f>SUM(F44,F30,F13,F50)</f>
        <v>98122788.395866334</v>
      </c>
    </row>
    <row r="52" spans="5:6" ht="15" thickTop="1" thickBot="1">
      <c r="E52" s="114"/>
      <c r="F52" s="120"/>
    </row>
    <row r="78" spans="6:6">
      <c r="F78" s="121"/>
    </row>
  </sheetData>
  <sheetProtection algorithmName="SHA-512" hashValue="xfdw05LBbKPPk+3w/2b4iyS25bc4wveQ3nZ4u6PbTn/9Mf2UtfuJwVK1pdXj/BJDDgyX6IE1J3IRWuQzo0T5GA==" saltValue="NzRmguo4bn1uulN9qQ4WfA==" spinCount="100000" sheet="1" objects="1" scenarios="1" selectLockedCells="1" selectUnlockedCells="1"/>
  <mergeCells count="8">
    <mergeCell ref="H21:I21"/>
    <mergeCell ref="H30:I30"/>
    <mergeCell ref="E32:F32"/>
    <mergeCell ref="E46:F46"/>
    <mergeCell ref="B2:C2"/>
    <mergeCell ref="E2:F2"/>
    <mergeCell ref="B15:C15"/>
    <mergeCell ref="E15:F1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FY24 Charter Calculator</vt:lpstr>
      <vt:lpstr>Revenue Estimates</vt:lpstr>
      <vt:lpstr>'FY24 Charter Calculator'!Print_Area</vt:lpstr>
    </vt:vector>
  </TitlesOfParts>
  <Company>Anchorage School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Ratliff</dc:creator>
  <cp:lastModifiedBy>Michael Tavoliero</cp:lastModifiedBy>
  <cp:lastPrinted>2026-07-04T18:28:49Z</cp:lastPrinted>
  <dcterms:created xsi:type="dcterms:W3CDTF">2014-05-03T00:14:31Z</dcterms:created>
  <dcterms:modified xsi:type="dcterms:W3CDTF">2026-07-05T03:05:19Z</dcterms:modified>
</cp:coreProperties>
</file>